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17-18 USBA Race Results\2018 USBA Points\"/>
    </mc:Choice>
  </mc:AlternateContent>
  <xr:revisionPtr revIDLastSave="0" documentId="13_ncr:1_{9ADED148-95A8-4A42-9C7E-F9CC36E7530C}" xr6:coauthVersionLast="31" xr6:coauthVersionMax="31" xr10:uidLastSave="{00000000-0000-0000-0000-000000000000}"/>
  <bookViews>
    <workbookView xWindow="1860" yWindow="4920" windowWidth="12885" windowHeight="4395" tabRatio="683" xr2:uid="{00000000-000D-0000-FFFF-FFFF00000000}"/>
  </bookViews>
  <sheets>
    <sheet name="Report" sheetId="82" r:id="rId1"/>
    <sheet name="Points Summary" sheetId="2" r:id="rId2"/>
    <sheet name="Race 1" sheetId="4" r:id="rId3"/>
    <sheet name="Race 2" sheetId="5" r:id="rId4"/>
    <sheet name="Race 3" sheetId="6" r:id="rId5"/>
    <sheet name="Race 4" sheetId="98" r:id="rId6"/>
    <sheet name="Race 5" sheetId="7" r:id="rId7"/>
    <sheet name="Race 6" sheetId="8" r:id="rId8"/>
    <sheet name="Race 7" sheetId="9" r:id="rId9"/>
    <sheet name="Race 8" sheetId="10" r:id="rId10"/>
    <sheet name="Race 9" sheetId="11" r:id="rId11"/>
    <sheet name="Race 10" sheetId="12" r:id="rId12"/>
    <sheet name="Race 11" sheetId="13" r:id="rId13"/>
    <sheet name="Race 12" sheetId="14" r:id="rId14"/>
    <sheet name="Race 13" sheetId="23" r:id="rId15"/>
    <sheet name="Race 14" sheetId="84" r:id="rId16"/>
    <sheet name="Race 15" sheetId="16" r:id="rId17"/>
    <sheet name="Race 16" sheetId="86" r:id="rId18"/>
    <sheet name="Race 17" sheetId="24" r:id="rId19"/>
    <sheet name="Race 18" sheetId="25" r:id="rId20"/>
    <sheet name="Race 19" sheetId="85" r:id="rId21"/>
    <sheet name="Race 20" sheetId="26" r:id="rId22"/>
    <sheet name="Race 21" sheetId="28" r:id="rId23"/>
    <sheet name="Race 22" sheetId="32" r:id="rId24"/>
    <sheet name="Race 23" sheetId="27" r:id="rId25"/>
    <sheet name="Race 24" sheetId="15" r:id="rId26"/>
    <sheet name="Race 25" sheetId="29" r:id="rId27"/>
    <sheet name="Race 26" sheetId="87" r:id="rId28"/>
    <sheet name="Race 27" sheetId="99" r:id="rId29"/>
    <sheet name="Race 28" sheetId="100" r:id="rId30"/>
    <sheet name="Race 29" sheetId="47" r:id="rId31"/>
    <sheet name="Race 30" sheetId="33" r:id="rId32"/>
    <sheet name="Race 31" sheetId="52" r:id="rId33"/>
    <sheet name="Race 32" sheetId="56" r:id="rId34"/>
    <sheet name="Race 33" sheetId="34" r:id="rId35"/>
    <sheet name="Race 34" sheetId="35" r:id="rId36"/>
    <sheet name="Race 35" sheetId="36" r:id="rId37"/>
    <sheet name="Race 36" sheetId="45" r:id="rId38"/>
    <sheet name="Race 37" sheetId="46" r:id="rId39"/>
    <sheet name="Race 38" sheetId="58" r:id="rId40"/>
    <sheet name="Race 39" sheetId="59" r:id="rId41"/>
    <sheet name="Race 40" sheetId="37" r:id="rId42"/>
    <sheet name="Race 41" sheetId="38" r:id="rId43"/>
    <sheet name="Race 42" sheetId="40" r:id="rId44"/>
    <sheet name="Race 43" sheetId="39" r:id="rId45"/>
    <sheet name="Race 44" sheetId="41" r:id="rId46"/>
    <sheet name="Race 45" sheetId="42" r:id="rId47"/>
    <sheet name="Race 46" sheetId="44" r:id="rId48"/>
    <sheet name="Race 47" sheetId="43" r:id="rId49"/>
    <sheet name="Race 48" sheetId="48" r:id="rId50"/>
    <sheet name="Race 49" sheetId="49" r:id="rId51"/>
    <sheet name="Race 50" sheetId="50" r:id="rId52"/>
    <sheet name="Race 51" sheetId="60" r:id="rId53"/>
    <sheet name="Race 52" sheetId="55" r:id="rId54"/>
    <sheet name="Race 53" sheetId="70" r:id="rId55"/>
    <sheet name="Race 54" sheetId="51" r:id="rId56"/>
    <sheet name="Race 55" sheetId="65" r:id="rId57"/>
    <sheet name="Race 56" sheetId="53" r:id="rId58"/>
    <sheet name="Race 57" sheetId="64" r:id="rId59"/>
    <sheet name="Race 58" sheetId="54" r:id="rId60"/>
    <sheet name="Race 59" sheetId="61" r:id="rId61"/>
    <sheet name="Race 60" sheetId="92" r:id="rId62"/>
    <sheet name="Race 61" sheetId="62" r:id="rId63"/>
    <sheet name="Race 62" sheetId="88" r:id="rId64"/>
    <sheet name="Race 63" sheetId="91" r:id="rId65"/>
    <sheet name="Race 64" sheetId="90" r:id="rId66"/>
    <sheet name="Race 65" sheetId="89" r:id="rId67"/>
    <sheet name="Race 66" sheetId="96" r:id="rId68"/>
    <sheet name="Race 67" sheetId="97" r:id="rId69"/>
    <sheet name="Race 68" sheetId="95" r:id="rId70"/>
    <sheet name="Race 69" sheetId="94" r:id="rId71"/>
    <sheet name="Race 70" sheetId="102" r:id="rId72"/>
    <sheet name="Race 71" sheetId="101" r:id="rId73"/>
    <sheet name="Race 72" sheetId="93" r:id="rId74"/>
    <sheet name="Race 73" sheetId="105" r:id="rId75"/>
    <sheet name="Race 74" sheetId="104" r:id="rId76"/>
    <sheet name="Race 75" sheetId="103" r:id="rId77"/>
    <sheet name="Race 76" sheetId="116" r:id="rId78"/>
    <sheet name="Race 77" sheetId="117" r:id="rId79"/>
    <sheet name="Race 78" sheetId="118" r:id="rId80"/>
    <sheet name="Race 79" sheetId="115" r:id="rId81"/>
    <sheet name="Race 80" sheetId="106" r:id="rId82"/>
    <sheet name="Race 81" sheetId="108" r:id="rId83"/>
    <sheet name="Race 82" sheetId="109" r:id="rId84"/>
    <sheet name="Race 83" sheetId="107" r:id="rId85"/>
    <sheet name="Race 84" sheetId="111" r:id="rId86"/>
    <sheet name="Race 85" sheetId="110" r:id="rId87"/>
    <sheet name="Race 86" sheetId="114" r:id="rId88"/>
    <sheet name="Race 87" sheetId="113" r:id="rId89"/>
    <sheet name="Race 88" sheetId="120" r:id="rId90"/>
    <sheet name="Race 89" sheetId="122" r:id="rId91"/>
    <sheet name="Race 90" sheetId="121" r:id="rId92"/>
    <sheet name="Race 91" sheetId="123" r:id="rId93"/>
    <sheet name="Race 92" sheetId="124" r:id="rId94"/>
    <sheet name="Race 93" sheetId="112" r:id="rId95"/>
    <sheet name="Race 94" sheetId="119" r:id="rId96"/>
    <sheet name="Race 95" sheetId="126" r:id="rId97"/>
    <sheet name="Race 96" sheetId="125" r:id="rId98"/>
    <sheet name="Extra" sheetId="83" r:id="rId99"/>
    <sheet name="Sample" sheetId="3" r:id="rId100"/>
  </sheets>
  <definedNames>
    <definedName name="_xlnm._FilterDatabase" localSheetId="19" hidden="1">'Race 18'!$A$8:$D$20</definedName>
    <definedName name="_xlnm._FilterDatabase" localSheetId="50" hidden="1">'Race 49'!$A$8:$G$14</definedName>
    <definedName name="_xlnm._FilterDatabase" localSheetId="53" hidden="1">'Race 52'!$A$8:$G$26</definedName>
    <definedName name="_xlnm.Print_Area" localSheetId="0">Report!$S$1:$AA$85</definedName>
  </definedNames>
  <calcPr calcId="179017"/>
</workbook>
</file>

<file path=xl/calcChain.xml><?xml version="1.0" encoding="utf-8"?>
<calcChain xmlns="http://schemas.openxmlformats.org/spreadsheetml/2006/main">
  <c r="AC167" i="82" l="1"/>
  <c r="S5" i="82" l="1"/>
  <c r="S6" i="82" s="1"/>
  <c r="S7" i="82" s="1"/>
  <c r="S8" i="82" s="1"/>
  <c r="S9" i="82" s="1"/>
  <c r="S10" i="82" s="1"/>
  <c r="S11" i="82" s="1"/>
  <c r="S12" i="82" s="1"/>
  <c r="S13" i="82" s="1"/>
  <c r="S14" i="82" s="1"/>
  <c r="S15" i="82" s="1"/>
  <c r="S16" i="82" s="1"/>
  <c r="S17" i="82" s="1"/>
  <c r="S18" i="82" s="1"/>
  <c r="S19" i="82" s="1"/>
  <c r="S20" i="82" s="1"/>
  <c r="S21" i="82" s="1"/>
  <c r="S22" i="82" s="1"/>
  <c r="S23" i="82" s="1"/>
  <c r="S24" i="82" s="1"/>
  <c r="S25" i="82" s="1"/>
  <c r="S26" i="82" s="1"/>
  <c r="S27" i="82" s="1"/>
  <c r="S28" i="82" s="1"/>
  <c r="S29" i="82" s="1"/>
  <c r="S30" i="82" s="1"/>
  <c r="S31" i="82" s="1"/>
  <c r="S32" i="82" s="1"/>
  <c r="S33" i="82" s="1"/>
  <c r="S34" i="82" s="1"/>
  <c r="S35" i="82" s="1"/>
  <c r="S36" i="82" s="1"/>
  <c r="S37" i="82" s="1"/>
  <c r="S38" i="82" s="1"/>
  <c r="S39" i="82" s="1"/>
  <c r="S40" i="82" s="1"/>
  <c r="S41" i="82" s="1"/>
  <c r="S42" i="82" s="1"/>
  <c r="S43" i="82" s="1"/>
  <c r="S44" i="82" s="1"/>
  <c r="S45" i="82" s="1"/>
  <c r="S46" i="82" s="1"/>
  <c r="S47" i="82" s="1"/>
  <c r="S48" i="82" s="1"/>
  <c r="S49" i="82" s="1"/>
  <c r="S50" i="82" s="1"/>
  <c r="S51" i="82" s="1"/>
  <c r="S52" i="82" s="1"/>
  <c r="S53" i="82" s="1"/>
  <c r="S54" i="82" s="1"/>
  <c r="S55" i="82" s="1"/>
  <c r="S56" i="82" s="1"/>
  <c r="S57" i="82" s="1"/>
  <c r="S58" i="82" s="1"/>
  <c r="S59" i="82" s="1"/>
  <c r="S60" i="82" s="1"/>
  <c r="S61" i="82" s="1"/>
  <c r="S62" i="82" s="1"/>
  <c r="S63" i="82" s="1"/>
  <c r="S64" i="82" s="1"/>
  <c r="S65" i="82" s="1"/>
  <c r="S66" i="82" s="1"/>
  <c r="S67" i="82" s="1"/>
  <c r="S68" i="82" s="1"/>
  <c r="S69" i="82" s="1"/>
  <c r="S70" i="82" s="1"/>
  <c r="S71" i="82" s="1"/>
  <c r="S72" i="82" s="1"/>
  <c r="S73" i="82" s="1"/>
  <c r="S74" i="82" s="1"/>
  <c r="S75" i="82" s="1"/>
  <c r="S76" i="82" s="1"/>
  <c r="S77" i="82" s="1"/>
  <c r="S78" i="82" s="1"/>
  <c r="S79" i="82" s="1"/>
  <c r="S80" i="82" s="1"/>
  <c r="S81" i="82" s="1"/>
  <c r="S82" i="82" s="1"/>
  <c r="S83" i="82" s="1"/>
  <c r="S84" i="82" s="1"/>
  <c r="S85" i="82" s="1"/>
  <c r="S86" i="82" s="1"/>
  <c r="S87" i="82" s="1"/>
  <c r="S88" i="82" s="1"/>
  <c r="S89" i="82" s="1"/>
  <c r="S90" i="82" s="1"/>
  <c r="S91" i="82" s="1"/>
  <c r="S92" i="82" s="1"/>
  <c r="S93" i="82" s="1"/>
  <c r="S94" i="82" s="1"/>
  <c r="S95" i="82" s="1"/>
  <c r="S96" i="82" s="1"/>
  <c r="S97" i="82" s="1"/>
  <c r="S98" i="82" s="1"/>
  <c r="S99" i="82" s="1"/>
  <c r="S100" i="82" s="1"/>
  <c r="S101" i="82" s="1"/>
  <c r="S102" i="82" s="1"/>
  <c r="S103" i="82" s="1"/>
  <c r="S104" i="82" s="1"/>
  <c r="S105" i="82" s="1"/>
  <c r="S106" i="82" s="1"/>
  <c r="S107" i="82" s="1"/>
  <c r="S108" i="82" s="1"/>
  <c r="S109" i="82" s="1"/>
  <c r="S110" i="82" s="1"/>
  <c r="S111" i="82" s="1"/>
  <c r="S112" i="82" s="1"/>
  <c r="S113" i="82" s="1"/>
  <c r="S114" i="82" s="1"/>
  <c r="S115" i="82" s="1"/>
  <c r="S116" i="82" s="1"/>
  <c r="S117" i="82" s="1"/>
  <c r="S118" i="82" s="1"/>
  <c r="S119" i="82" s="1"/>
  <c r="S120" i="82" s="1"/>
  <c r="S121" i="82" s="1"/>
  <c r="S122" i="82" s="1"/>
  <c r="S123" i="82" s="1"/>
  <c r="S124" i="82" s="1"/>
  <c r="S125" i="82" s="1"/>
  <c r="S126" i="82" s="1"/>
  <c r="S127" i="82" s="1"/>
  <c r="S128" i="82" s="1"/>
  <c r="S129" i="82" s="1"/>
  <c r="S130" i="82" s="1"/>
  <c r="S131" i="82" s="1"/>
  <c r="S132" i="82" s="1"/>
  <c r="S133" i="82" s="1"/>
  <c r="S134" i="82" s="1"/>
  <c r="S135" i="82" s="1"/>
  <c r="S136" i="82" s="1"/>
  <c r="S137" i="82" s="1"/>
  <c r="S138" i="82" s="1"/>
  <c r="S139" i="82" s="1"/>
  <c r="S140" i="82" s="1"/>
  <c r="S141" i="82" s="1"/>
  <c r="S142" i="82" s="1"/>
  <c r="S143" i="82" s="1"/>
  <c r="S144" i="82" s="1"/>
  <c r="S145" i="82" s="1"/>
  <c r="S146" i="82" s="1"/>
  <c r="S147" i="82" s="1"/>
  <c r="S148" i="82" s="1"/>
  <c r="S149" i="82" s="1"/>
  <c r="S150" i="82" s="1"/>
  <c r="S151" i="82" s="1"/>
  <c r="S152" i="82" s="1"/>
  <c r="S153" i="82" s="1"/>
  <c r="S154" i="82" s="1"/>
  <c r="S155" i="82" s="1"/>
  <c r="S156" i="82" s="1"/>
  <c r="S157" i="82" s="1"/>
  <c r="S158" i="82" s="1"/>
  <c r="S159" i="82" s="1"/>
  <c r="S160" i="82" s="1"/>
  <c r="S161" i="82" s="1"/>
  <c r="S162" i="82" s="1"/>
  <c r="S163" i="82" s="1"/>
  <c r="S164" i="82" s="1"/>
  <c r="S165" i="82" s="1"/>
  <c r="S166" i="82" s="1"/>
  <c r="S4" i="82"/>
  <c r="DM167" i="2"/>
  <c r="DM166" i="2"/>
  <c r="DM165" i="2"/>
  <c r="DM164" i="2"/>
  <c r="DM163" i="2"/>
  <c r="DM162" i="2"/>
  <c r="DM161" i="2"/>
  <c r="DM160" i="2"/>
  <c r="DM159" i="2"/>
  <c r="DM158" i="2"/>
  <c r="DM157" i="2"/>
  <c r="DM156" i="2"/>
  <c r="DM155" i="2"/>
  <c r="DM154" i="2"/>
  <c r="DM153" i="2"/>
  <c r="DM152" i="2"/>
  <c r="DM151" i="2"/>
  <c r="DM150" i="2"/>
  <c r="DM149" i="2"/>
  <c r="DM148" i="2"/>
  <c r="DM147" i="2"/>
  <c r="DM146" i="2"/>
  <c r="DM145" i="2"/>
  <c r="DM144" i="2"/>
  <c r="DM143" i="2"/>
  <c r="DM142" i="2"/>
  <c r="DM141" i="2"/>
  <c r="DM140" i="2"/>
  <c r="DM139" i="2"/>
  <c r="DM138" i="2"/>
  <c r="DM137" i="2"/>
  <c r="DM136" i="2"/>
  <c r="DM135" i="2"/>
  <c r="DM134" i="2"/>
  <c r="DM133" i="2"/>
  <c r="DM132" i="2"/>
  <c r="DM131" i="2"/>
  <c r="DM130" i="2"/>
  <c r="DM129" i="2"/>
  <c r="DM128" i="2"/>
  <c r="DM127" i="2"/>
  <c r="DM126" i="2"/>
  <c r="DM125" i="2"/>
  <c r="DM124" i="2"/>
  <c r="DM123" i="2"/>
  <c r="DM122" i="2"/>
  <c r="DM121" i="2"/>
  <c r="DM120" i="2"/>
  <c r="DM119" i="2"/>
  <c r="DM118" i="2"/>
  <c r="DM117" i="2"/>
  <c r="DM116" i="2"/>
  <c r="DM115" i="2"/>
  <c r="DM114" i="2"/>
  <c r="DM113" i="2"/>
  <c r="DM112" i="2"/>
  <c r="DM111" i="2"/>
  <c r="DM110" i="2"/>
  <c r="DM109" i="2"/>
  <c r="DM108" i="2"/>
  <c r="DM107" i="2"/>
  <c r="DM106" i="2"/>
  <c r="DM105" i="2"/>
  <c r="DM104" i="2"/>
  <c r="DM103" i="2"/>
  <c r="DM102" i="2"/>
  <c r="DM101" i="2"/>
  <c r="DM100" i="2"/>
  <c r="DM99" i="2"/>
  <c r="DM98" i="2"/>
  <c r="DM97" i="2"/>
  <c r="DM96" i="2"/>
  <c r="DM95" i="2"/>
  <c r="DM94" i="2"/>
  <c r="DM93" i="2"/>
  <c r="DM92" i="2"/>
  <c r="DM91" i="2"/>
  <c r="DM90" i="2"/>
  <c r="DM89" i="2"/>
  <c r="DM88" i="2"/>
  <c r="DM87" i="2"/>
  <c r="DM86" i="2"/>
  <c r="DM85" i="2"/>
  <c r="DM84" i="2"/>
  <c r="DM83" i="2"/>
  <c r="DM82" i="2"/>
  <c r="DM81" i="2"/>
  <c r="DM80" i="2"/>
  <c r="DM79" i="2"/>
  <c r="DM78" i="2"/>
  <c r="DM77" i="2"/>
  <c r="DM76" i="2"/>
  <c r="DM75" i="2"/>
  <c r="DM74" i="2"/>
  <c r="DM73" i="2"/>
  <c r="DM72" i="2"/>
  <c r="DM71" i="2"/>
  <c r="DM70" i="2"/>
  <c r="DM69" i="2"/>
  <c r="DM68" i="2"/>
  <c r="DM67" i="2"/>
  <c r="DM66" i="2"/>
  <c r="DM65" i="2"/>
  <c r="DM64" i="2"/>
  <c r="DM63" i="2"/>
  <c r="DM62" i="2"/>
  <c r="DM61" i="2"/>
  <c r="DM60" i="2"/>
  <c r="DM59" i="2"/>
  <c r="DM58" i="2"/>
  <c r="DM57" i="2"/>
  <c r="DM56" i="2"/>
  <c r="DM55" i="2"/>
  <c r="DM54" i="2"/>
  <c r="DM53" i="2"/>
  <c r="DM52" i="2"/>
  <c r="DM51" i="2"/>
  <c r="DM50" i="2"/>
  <c r="DM49" i="2"/>
  <c r="DM48" i="2"/>
  <c r="DM47" i="2"/>
  <c r="DM46" i="2"/>
  <c r="DM45" i="2"/>
  <c r="DM44" i="2"/>
  <c r="DM43" i="2"/>
  <c r="DM42" i="2"/>
  <c r="DM41" i="2"/>
  <c r="DM40" i="2"/>
  <c r="DM39" i="2"/>
  <c r="DM38" i="2"/>
  <c r="DM37" i="2"/>
  <c r="DM36" i="2"/>
  <c r="DM35" i="2"/>
  <c r="DM34" i="2"/>
  <c r="DM33" i="2"/>
  <c r="DM32" i="2"/>
  <c r="DM31" i="2"/>
  <c r="DM30" i="2"/>
  <c r="DM29" i="2"/>
  <c r="DM28" i="2"/>
  <c r="DM27" i="2"/>
  <c r="DM26" i="2"/>
  <c r="DM25" i="2"/>
  <c r="DM24" i="2"/>
  <c r="DM23" i="2"/>
  <c r="DM22" i="2"/>
  <c r="DM21" i="2"/>
  <c r="DM20" i="2"/>
  <c r="DM19" i="2"/>
  <c r="DM18" i="2"/>
  <c r="DM17" i="2"/>
  <c r="DM16" i="2"/>
  <c r="DM15" i="2"/>
  <c r="DM14" i="2"/>
  <c r="DM13" i="2"/>
  <c r="DM12" i="2"/>
  <c r="DM11" i="2"/>
  <c r="DM10" i="2"/>
  <c r="DM9" i="2"/>
  <c r="DM8" i="2"/>
  <c r="DM7" i="2"/>
  <c r="DM6" i="2"/>
  <c r="DM5" i="2"/>
  <c r="DM4" i="2"/>
  <c r="DN167" i="2" l="1"/>
  <c r="DL167" i="2"/>
  <c r="DE167" i="2" s="1"/>
  <c r="DK167" i="2"/>
  <c r="DI167" i="2"/>
  <c r="DH167" i="2"/>
  <c r="DG167" i="2"/>
  <c r="DF167" i="2"/>
  <c r="DC167" i="2"/>
  <c r="DB167" i="2"/>
  <c r="DA167" i="2"/>
  <c r="DJ167" i="2" s="1"/>
  <c r="DN166" i="2"/>
  <c r="DL166" i="2"/>
  <c r="DE166" i="2" s="1"/>
  <c r="DI166" i="2"/>
  <c r="DH166" i="2"/>
  <c r="DG166" i="2"/>
  <c r="DF166" i="2"/>
  <c r="DC166" i="2"/>
  <c r="DA166" i="2" s="1"/>
  <c r="DB166" i="2"/>
  <c r="DN165" i="2"/>
  <c r="DL165" i="2"/>
  <c r="DI165" i="2"/>
  <c r="DH165" i="2"/>
  <c r="DG165" i="2"/>
  <c r="DF165" i="2"/>
  <c r="DE165" i="2"/>
  <c r="DC165" i="2"/>
  <c r="DA165" i="2" s="1"/>
  <c r="DB165" i="2"/>
  <c r="DN164" i="2"/>
  <c r="DL164" i="2"/>
  <c r="DI164" i="2"/>
  <c r="DH164" i="2"/>
  <c r="DG164" i="2"/>
  <c r="DF164" i="2"/>
  <c r="DE164" i="2"/>
  <c r="DC164" i="2"/>
  <c r="DB164" i="2"/>
  <c r="DA164" i="2"/>
  <c r="DJ164" i="2" s="1"/>
  <c r="DN163" i="2"/>
  <c r="DL163" i="2"/>
  <c r="DE163" i="2" s="1"/>
  <c r="DK163" i="2"/>
  <c r="DI163" i="2"/>
  <c r="DH163" i="2"/>
  <c r="DG163" i="2"/>
  <c r="DF163" i="2"/>
  <c r="DC163" i="2"/>
  <c r="DB163" i="2"/>
  <c r="DA163" i="2"/>
  <c r="DJ163" i="2" s="1"/>
  <c r="DL149" i="2"/>
  <c r="DL132" i="2"/>
  <c r="DL125" i="2"/>
  <c r="DL124" i="2"/>
  <c r="DL130" i="2"/>
  <c r="DL129" i="2"/>
  <c r="DL128" i="2"/>
  <c r="DL127" i="2"/>
  <c r="DL116" i="2"/>
  <c r="DL111" i="2"/>
  <c r="DL108" i="2"/>
  <c r="DL106" i="2"/>
  <c r="DL99" i="2"/>
  <c r="DL96" i="2"/>
  <c r="DL91" i="2"/>
  <c r="DL77" i="2"/>
  <c r="DL67" i="2"/>
  <c r="DL61" i="2"/>
  <c r="DL58" i="2"/>
  <c r="DL55" i="2"/>
  <c r="DL52" i="2"/>
  <c r="DL51" i="2"/>
  <c r="DL38" i="2"/>
  <c r="DL37" i="2"/>
  <c r="DL20" i="2"/>
  <c r="DL19" i="2"/>
  <c r="DL12" i="2"/>
  <c r="BW160" i="2"/>
  <c r="BX150" i="2"/>
  <c r="BW131" i="2"/>
  <c r="BX123" i="2"/>
  <c r="BW109" i="2"/>
  <c r="BX88" i="2"/>
  <c r="BW74" i="2"/>
  <c r="BW69" i="2"/>
  <c r="BW60" i="2"/>
  <c r="BX48" i="2"/>
  <c r="BW45" i="2"/>
  <c r="BW44" i="2"/>
  <c r="BW43" i="2"/>
  <c r="BX23" i="2"/>
  <c r="BW22" i="2"/>
  <c r="BW16" i="2"/>
  <c r="BX13" i="2"/>
  <c r="BW9" i="2"/>
  <c r="BW7" i="2"/>
  <c r="G18" i="97"/>
  <c r="D18" i="97"/>
  <c r="G16" i="97"/>
  <c r="D16" i="97" s="1"/>
  <c r="G19" i="97"/>
  <c r="D19" i="97" s="1"/>
  <c r="G17" i="97"/>
  <c r="D17" i="97" s="1"/>
  <c r="G15" i="97"/>
  <c r="D15" i="97" s="1"/>
  <c r="G13" i="95"/>
  <c r="D13" i="95" s="1"/>
  <c r="G11" i="95"/>
  <c r="D11" i="95" s="1"/>
  <c r="G14" i="95"/>
  <c r="D14" i="95"/>
  <c r="G10" i="95"/>
  <c r="D10" i="95" s="1"/>
  <c r="G12" i="95"/>
  <c r="D12" i="95" s="1"/>
  <c r="G20" i="97"/>
  <c r="D20" i="97" s="1"/>
  <c r="G14" i="97"/>
  <c r="D14" i="97" s="1"/>
  <c r="G12" i="97"/>
  <c r="D12" i="97" s="1"/>
  <c r="G13" i="97"/>
  <c r="D13" i="97"/>
  <c r="G11" i="97"/>
  <c r="D11" i="97" s="1"/>
  <c r="DK165" i="2" l="1"/>
  <c r="DJ165" i="2"/>
  <c r="DK166" i="2"/>
  <c r="DJ166" i="2"/>
  <c r="DK164" i="2"/>
  <c r="BS167" i="2"/>
  <c r="BV166" i="2"/>
  <c r="BU166" i="2"/>
  <c r="BT166" i="2"/>
  <c r="BS166" i="2"/>
  <c r="BT165" i="2"/>
  <c r="BS165" i="2"/>
  <c r="BT164" i="2"/>
  <c r="BS164" i="2"/>
  <c r="BV69" i="2"/>
  <c r="BU69" i="2"/>
  <c r="BT69" i="2"/>
  <c r="BS69" i="2"/>
  <c r="BV7" i="2"/>
  <c r="BU7" i="2"/>
  <c r="BT7" i="2"/>
  <c r="BS7" i="2"/>
  <c r="E10" i="89"/>
  <c r="E9" i="89"/>
  <c r="E8" i="89"/>
  <c r="F5" i="89"/>
  <c r="C10" i="89"/>
  <c r="C9" i="89"/>
  <c r="C8" i="89"/>
  <c r="E12" i="90"/>
  <c r="E11" i="90"/>
  <c r="E10" i="90"/>
  <c r="E9" i="90"/>
  <c r="E8" i="90"/>
  <c r="F5" i="90"/>
  <c r="G12" i="90"/>
  <c r="D12" i="90" s="1"/>
  <c r="G8" i="90"/>
  <c r="D8" i="90" s="1"/>
  <c r="C12" i="90"/>
  <c r="F5" i="91"/>
  <c r="G167" i="2"/>
  <c r="G166" i="2"/>
  <c r="G165" i="2"/>
  <c r="G164" i="2"/>
  <c r="G14" i="91"/>
  <c r="D14" i="91" s="1"/>
  <c r="G13" i="91"/>
  <c r="D13" i="91" s="1"/>
  <c r="G9" i="91"/>
  <c r="D9" i="91" s="1"/>
  <c r="G10" i="91"/>
  <c r="D10" i="91" s="1"/>
  <c r="G12" i="91"/>
  <c r="D12" i="91" s="1"/>
  <c r="G15" i="88" l="1"/>
  <c r="D15" i="88" s="1"/>
  <c r="G16" i="88"/>
  <c r="D16" i="88" s="1"/>
  <c r="G12" i="88"/>
  <c r="D12" i="88" s="1"/>
  <c r="G8" i="88"/>
  <c r="D8" i="88" s="1"/>
  <c r="E15" i="88" s="1"/>
  <c r="BR23" i="2" s="1"/>
  <c r="G13" i="88"/>
  <c r="D13" i="88" s="1"/>
  <c r="G9" i="88"/>
  <c r="D9" i="88" s="1"/>
  <c r="G10" i="88"/>
  <c r="D10" i="88" s="1"/>
  <c r="G11" i="88"/>
  <c r="D11" i="88" s="1"/>
  <c r="G20" i="88"/>
  <c r="D20" i="88" s="1"/>
  <c r="G18" i="88"/>
  <c r="D18" i="88" s="1"/>
  <c r="E10" i="88" l="1"/>
  <c r="BR123" i="2" s="1"/>
  <c r="E18" i="88"/>
  <c r="BR69" i="2" s="1"/>
  <c r="E12" i="88"/>
  <c r="BR13" i="2" s="1"/>
  <c r="E9" i="88"/>
  <c r="BR57" i="2" s="1"/>
  <c r="E20" i="88"/>
  <c r="BR9" i="2" s="1"/>
  <c r="E13" i="88"/>
  <c r="BR150" i="2" s="1"/>
  <c r="E16" i="88"/>
  <c r="BR48" i="2" s="1"/>
  <c r="E11" i="88"/>
  <c r="BR88" i="2" s="1"/>
  <c r="E8" i="88"/>
  <c r="BR145" i="2" s="1"/>
  <c r="C16" i="92"/>
  <c r="C18" i="92"/>
  <c r="C17" i="92"/>
  <c r="C19" i="92"/>
  <c r="C14" i="92"/>
  <c r="C21" i="92"/>
  <c r="C15" i="92"/>
  <c r="C20" i="92"/>
  <c r="C12" i="92"/>
  <c r="C8" i="92"/>
  <c r="C9" i="92"/>
  <c r="C13" i="92"/>
  <c r="C11" i="92"/>
  <c r="C10" i="92"/>
  <c r="G17" i="61" l="1"/>
  <c r="D17" i="61" s="1"/>
  <c r="G15" i="61"/>
  <c r="D15" i="61" s="1"/>
  <c r="G16" i="61"/>
  <c r="D16" i="61" s="1"/>
  <c r="G14" i="61"/>
  <c r="D14" i="61" s="1"/>
  <c r="G12" i="61"/>
  <c r="D12" i="61" s="1"/>
  <c r="G13" i="61"/>
  <c r="D13" i="61" s="1"/>
  <c r="G10" i="61"/>
  <c r="D10" i="61" s="1"/>
  <c r="G11" i="61"/>
  <c r="D11" i="61" s="1"/>
  <c r="C17" i="61"/>
  <c r="C15" i="61"/>
  <c r="C16" i="61"/>
  <c r="C14" i="61"/>
  <c r="C12" i="61"/>
  <c r="C13" i="61"/>
  <c r="C10" i="61"/>
  <c r="C11" i="61"/>
  <c r="C9" i="61"/>
  <c r="C8" i="61"/>
  <c r="C10" i="54" l="1"/>
  <c r="C9" i="54"/>
  <c r="C8" i="54"/>
  <c r="G12" i="53" l="1"/>
  <c r="D12" i="53" s="1"/>
  <c r="G11" i="53"/>
  <c r="D11" i="53" s="1"/>
  <c r="G9" i="53"/>
  <c r="D9" i="53" s="1"/>
  <c r="G8" i="53"/>
  <c r="D8" i="53" s="1"/>
  <c r="G13" i="53"/>
  <c r="D13" i="53" s="1"/>
  <c r="C12" i="53"/>
  <c r="C11" i="53"/>
  <c r="C9" i="53"/>
  <c r="C8" i="53"/>
  <c r="C13" i="53"/>
  <c r="C10" i="53"/>
  <c r="C16" i="53"/>
  <c r="C15" i="53"/>
  <c r="C14" i="53"/>
  <c r="G12" i="64"/>
  <c r="D12" i="64" s="1"/>
  <c r="G11" i="64"/>
  <c r="D11" i="64" s="1"/>
  <c r="G9" i="64"/>
  <c r="D9" i="64" s="1"/>
  <c r="G8" i="64"/>
  <c r="D8" i="64" s="1"/>
  <c r="C12" i="64"/>
  <c r="C11" i="64"/>
  <c r="C9" i="64"/>
  <c r="C8" i="64"/>
  <c r="C10" i="64"/>
  <c r="C13" i="64"/>
  <c r="G10" i="65" l="1"/>
  <c r="D10" i="65" s="1"/>
  <c r="G11" i="51" l="1"/>
  <c r="D11" i="51" s="1"/>
  <c r="G10" i="51"/>
  <c r="D10" i="51" s="1"/>
  <c r="G30" i="70" l="1"/>
  <c r="D30" i="70" s="1"/>
  <c r="G29" i="70"/>
  <c r="D29" i="70" s="1"/>
  <c r="G28" i="70"/>
  <c r="D28" i="70" s="1"/>
  <c r="G27" i="70"/>
  <c r="D27" i="70" s="1"/>
  <c r="G16" i="70"/>
  <c r="D16" i="70" s="1"/>
  <c r="G26" i="70"/>
  <c r="D26" i="70" s="1"/>
  <c r="G25" i="70"/>
  <c r="D25" i="70" s="1"/>
  <c r="G18" i="70"/>
  <c r="D18" i="70" s="1"/>
  <c r="G19" i="70"/>
  <c r="D19" i="70" s="1"/>
  <c r="G24" i="70"/>
  <c r="D24" i="70" s="1"/>
  <c r="G13" i="70"/>
  <c r="D13" i="70" s="1"/>
  <c r="G9" i="70"/>
  <c r="D9" i="70" s="1"/>
  <c r="G23" i="70"/>
  <c r="D23" i="70" s="1"/>
  <c r="G14" i="70"/>
  <c r="D14" i="70" s="1"/>
  <c r="G8" i="70"/>
  <c r="D8" i="70" s="1"/>
  <c r="G17" i="70"/>
  <c r="D17" i="70" s="1"/>
  <c r="G20" i="70"/>
  <c r="D20" i="70" s="1"/>
  <c r="G15" i="70"/>
  <c r="D15" i="70" s="1"/>
  <c r="G12" i="70"/>
  <c r="D12" i="70" s="1"/>
  <c r="DN162" i="2"/>
  <c r="DI162" i="2"/>
  <c r="DG162" i="2"/>
  <c r="DF162" i="2"/>
  <c r="DB162" i="2"/>
  <c r="DN161" i="2"/>
  <c r="DI161" i="2"/>
  <c r="DG161" i="2"/>
  <c r="DF161" i="2"/>
  <c r="DB161" i="2"/>
  <c r="DN160" i="2"/>
  <c r="DI160" i="2"/>
  <c r="DG160" i="2"/>
  <c r="DF160" i="2"/>
  <c r="DB160" i="2"/>
  <c r="DN159" i="2"/>
  <c r="DI159" i="2"/>
  <c r="DG159" i="2"/>
  <c r="DF159" i="2"/>
  <c r="DB159" i="2"/>
  <c r="DN158" i="2"/>
  <c r="DI158" i="2"/>
  <c r="DG158" i="2"/>
  <c r="DF158" i="2"/>
  <c r="DB158" i="2"/>
  <c r="DN157" i="2"/>
  <c r="DI157" i="2"/>
  <c r="DG157" i="2"/>
  <c r="DF157" i="2"/>
  <c r="DB157" i="2"/>
  <c r="DN156" i="2"/>
  <c r="DI156" i="2"/>
  <c r="DG156" i="2"/>
  <c r="DF156" i="2"/>
  <c r="DB156" i="2"/>
  <c r="DN155" i="2"/>
  <c r="DI155" i="2"/>
  <c r="DG155" i="2"/>
  <c r="DF155" i="2"/>
  <c r="DB155" i="2"/>
  <c r="DN154" i="2"/>
  <c r="DI154" i="2"/>
  <c r="DG154" i="2"/>
  <c r="DF154" i="2"/>
  <c r="DB154" i="2"/>
  <c r="DN94" i="2"/>
  <c r="DI94" i="2"/>
  <c r="DG94" i="2"/>
  <c r="DF94" i="2"/>
  <c r="DB94" i="2"/>
  <c r="DN4" i="2"/>
  <c r="DI4" i="2"/>
  <c r="DG4" i="2"/>
  <c r="DF4" i="2"/>
  <c r="DB4" i="2"/>
  <c r="DN71" i="2"/>
  <c r="DI71" i="2"/>
  <c r="DG71" i="2"/>
  <c r="DF71" i="2"/>
  <c r="DB71" i="2"/>
  <c r="DN49" i="2"/>
  <c r="DI49" i="2"/>
  <c r="DG49" i="2"/>
  <c r="DF49" i="2"/>
  <c r="DB49" i="2"/>
  <c r="DN76" i="2"/>
  <c r="DI76" i="2"/>
  <c r="DG76" i="2"/>
  <c r="DF76" i="2"/>
  <c r="DB76" i="2"/>
  <c r="DN78" i="2"/>
  <c r="DI78" i="2"/>
  <c r="DG78" i="2"/>
  <c r="DF78" i="2"/>
  <c r="DB78" i="2"/>
  <c r="G30" i="55"/>
  <c r="D30" i="55" s="1"/>
  <c r="G29" i="55"/>
  <c r="D29" i="55" s="1"/>
  <c r="G28" i="55"/>
  <c r="D28" i="55" s="1"/>
  <c r="G27" i="55"/>
  <c r="D27" i="55" s="1"/>
  <c r="G21" i="55"/>
  <c r="D21" i="55" s="1"/>
  <c r="G26" i="55"/>
  <c r="D26" i="55" s="1"/>
  <c r="G25" i="55"/>
  <c r="D25" i="55" s="1"/>
  <c r="G18" i="55"/>
  <c r="D18" i="55" s="1"/>
  <c r="G20" i="55"/>
  <c r="D20" i="55" s="1"/>
  <c r="G19" i="55"/>
  <c r="D19" i="55" s="1"/>
  <c r="G16" i="55"/>
  <c r="D16" i="55" s="1"/>
  <c r="G24" i="55"/>
  <c r="D24" i="55" s="1"/>
  <c r="G13" i="55"/>
  <c r="D13" i="55" s="1"/>
  <c r="G9" i="55"/>
  <c r="D9" i="55" s="1"/>
  <c r="G14" i="55"/>
  <c r="D14" i="55" s="1"/>
  <c r="G8" i="55"/>
  <c r="D8" i="55" s="1"/>
  <c r="G17" i="55"/>
  <c r="D17" i="55" s="1"/>
  <c r="G15" i="55"/>
  <c r="D15" i="55" s="1"/>
  <c r="G12" i="55"/>
  <c r="D12" i="55" s="1"/>
  <c r="G23" i="55"/>
  <c r="D23" i="55" s="1"/>
  <c r="G22" i="55"/>
  <c r="D22" i="55" s="1"/>
  <c r="DN121" i="2" l="1"/>
  <c r="DI121" i="2"/>
  <c r="DG121" i="2"/>
  <c r="DF121" i="2"/>
  <c r="DB121" i="2"/>
  <c r="DN107" i="2"/>
  <c r="DI107" i="2"/>
  <c r="DG107" i="2"/>
  <c r="DF107" i="2"/>
  <c r="DB107" i="2"/>
  <c r="DN95" i="2"/>
  <c r="DI95" i="2"/>
  <c r="DG95" i="2"/>
  <c r="DF95" i="2"/>
  <c r="DB95" i="2"/>
  <c r="DN100" i="2"/>
  <c r="DI100" i="2"/>
  <c r="DG100" i="2"/>
  <c r="DF100" i="2"/>
  <c r="DB100" i="2"/>
  <c r="DN36" i="2"/>
  <c r="DI36" i="2"/>
  <c r="DG36" i="2"/>
  <c r="DF36" i="2"/>
  <c r="DB36" i="2"/>
  <c r="DN70" i="2"/>
  <c r="DI70" i="2"/>
  <c r="DG70" i="2"/>
  <c r="DF70" i="2"/>
  <c r="DB70" i="2"/>
  <c r="DN97" i="2"/>
  <c r="DI97" i="2"/>
  <c r="DG97" i="2"/>
  <c r="DF97" i="2"/>
  <c r="DB97" i="2"/>
  <c r="DN135" i="2"/>
  <c r="DI135" i="2"/>
  <c r="DG135" i="2"/>
  <c r="DF135" i="2"/>
  <c r="DB135" i="2"/>
  <c r="G14" i="60"/>
  <c r="D14" i="60" s="1"/>
  <c r="G13" i="60"/>
  <c r="D13" i="60" s="1"/>
  <c r="G12" i="60"/>
  <c r="D12" i="60" s="1"/>
  <c r="C14" i="60"/>
  <c r="C13" i="60"/>
  <c r="C12" i="60"/>
  <c r="C11" i="60"/>
  <c r="C10" i="60"/>
  <c r="C9" i="60"/>
  <c r="C8" i="60"/>
  <c r="F13" i="50" l="1"/>
  <c r="F12" i="50"/>
  <c r="E13" i="50"/>
  <c r="C9" i="50" s="1"/>
  <c r="E12" i="50"/>
  <c r="C8" i="50" s="1"/>
  <c r="G9" i="50"/>
  <c r="D9" i="50" s="1"/>
  <c r="G8" i="50"/>
  <c r="D8" i="50" s="1"/>
  <c r="F5" i="50" l="1"/>
  <c r="E8" i="50"/>
  <c r="BF57" i="2" s="1"/>
  <c r="E9" i="50"/>
  <c r="BF123" i="2" s="1"/>
  <c r="G13" i="49"/>
  <c r="D13" i="49" s="1"/>
  <c r="G9" i="49"/>
  <c r="D9" i="49" s="1"/>
  <c r="C13" i="49"/>
  <c r="C9" i="49"/>
  <c r="C11" i="49"/>
  <c r="C8" i="49"/>
  <c r="C10" i="49"/>
  <c r="C12" i="49"/>
  <c r="G11" i="48"/>
  <c r="D11" i="48" s="1"/>
  <c r="G10" i="48"/>
  <c r="D10" i="48" s="1"/>
  <c r="G10" i="41" l="1"/>
  <c r="D10" i="41" s="1"/>
  <c r="DN147" i="2" l="1"/>
  <c r="DI147" i="2"/>
  <c r="DG147" i="2"/>
  <c r="DF147" i="2"/>
  <c r="DB147" i="2"/>
  <c r="DN133" i="2"/>
  <c r="DI133" i="2"/>
  <c r="DG133" i="2"/>
  <c r="DF133" i="2"/>
  <c r="DB133" i="2"/>
  <c r="DN119" i="2"/>
  <c r="DI119" i="2"/>
  <c r="DG119" i="2"/>
  <c r="DF119" i="2"/>
  <c r="DB119" i="2"/>
  <c r="G13" i="40"/>
  <c r="G12" i="40"/>
  <c r="D12" i="40" s="1"/>
  <c r="G15" i="40"/>
  <c r="G11" i="40"/>
  <c r="G19" i="40"/>
  <c r="D19" i="40" s="1"/>
  <c r="G18" i="40"/>
  <c r="D18" i="40" s="1"/>
  <c r="G10" i="40"/>
  <c r="DN139" i="2"/>
  <c r="DI139" i="2"/>
  <c r="DG139" i="2"/>
  <c r="DF139" i="2"/>
  <c r="DB139" i="2"/>
  <c r="DN6" i="2"/>
  <c r="DI6" i="2"/>
  <c r="DG6" i="2"/>
  <c r="DF6" i="2"/>
  <c r="DB6" i="2"/>
  <c r="DN32" i="2"/>
  <c r="DI32" i="2"/>
  <c r="DG32" i="2"/>
  <c r="DF32" i="2"/>
  <c r="DB32" i="2"/>
  <c r="DN126" i="2"/>
  <c r="DI126" i="2"/>
  <c r="DG126" i="2"/>
  <c r="DF126" i="2"/>
  <c r="DB126" i="2"/>
  <c r="DN122" i="2"/>
  <c r="DI122" i="2"/>
  <c r="DG122" i="2"/>
  <c r="DF122" i="2"/>
  <c r="DB122" i="2"/>
  <c r="DN103" i="2"/>
  <c r="DI103" i="2"/>
  <c r="DG103" i="2"/>
  <c r="DF103" i="2"/>
  <c r="DB103" i="2"/>
  <c r="DN15" i="2"/>
  <c r="DI15" i="2"/>
  <c r="DG15" i="2"/>
  <c r="DF15" i="2"/>
  <c r="DB15" i="2"/>
  <c r="DN105" i="2"/>
  <c r="DI105" i="2"/>
  <c r="DG105" i="2"/>
  <c r="DF105" i="2"/>
  <c r="DB105" i="2"/>
  <c r="DN153" i="2"/>
  <c r="DI153" i="2"/>
  <c r="DG153" i="2"/>
  <c r="DF153" i="2"/>
  <c r="DB153" i="2"/>
  <c r="DN72" i="2"/>
  <c r="DI72" i="2"/>
  <c r="DG72" i="2"/>
  <c r="DF72" i="2"/>
  <c r="DB72" i="2"/>
  <c r="DN112" i="2"/>
  <c r="DI112" i="2"/>
  <c r="DG112" i="2"/>
  <c r="DF112" i="2"/>
  <c r="DB112" i="2"/>
  <c r="DN146" i="2"/>
  <c r="DI146" i="2"/>
  <c r="DG146" i="2"/>
  <c r="DF146" i="2"/>
  <c r="DB146" i="2"/>
  <c r="G19" i="38"/>
  <c r="D19" i="38" s="1"/>
  <c r="G18" i="38"/>
  <c r="D18" i="38" s="1"/>
  <c r="G17" i="38"/>
  <c r="D17" i="38" s="1"/>
  <c r="G16" i="38"/>
  <c r="D16" i="38" s="1"/>
  <c r="G8" i="38"/>
  <c r="D8" i="38" s="1"/>
  <c r="G9" i="38"/>
  <c r="D9" i="38" s="1"/>
  <c r="G10" i="38"/>
  <c r="D10" i="38" s="1"/>
  <c r="G15" i="38"/>
  <c r="D15" i="38" s="1"/>
  <c r="G14" i="38"/>
  <c r="D14" i="38" s="1"/>
  <c r="G13" i="38"/>
  <c r="D13" i="38" s="1"/>
  <c r="D13" i="40" l="1"/>
  <c r="D15" i="40"/>
  <c r="E18" i="38"/>
  <c r="AW126" i="2" s="1"/>
  <c r="E16" i="38"/>
  <c r="AW103" i="2" s="1"/>
  <c r="E10" i="38"/>
  <c r="AW131" i="2" s="1"/>
  <c r="E14" i="38"/>
  <c r="AW105" i="2" s="1"/>
  <c r="E17" i="38"/>
  <c r="AW122" i="2" s="1"/>
  <c r="E8" i="38"/>
  <c r="AW118" i="2" s="1"/>
  <c r="E19" i="38"/>
  <c r="AW32" i="2" s="1"/>
  <c r="E9" i="38"/>
  <c r="AW102" i="2" s="1"/>
  <c r="E15" i="38"/>
  <c r="AW15" i="2" s="1"/>
  <c r="E13" i="38"/>
  <c r="AW153" i="2" s="1"/>
  <c r="C8" i="37"/>
  <c r="C9" i="37"/>
  <c r="C10" i="37"/>
  <c r="DH15" i="2" l="1"/>
  <c r="G15" i="2"/>
  <c r="DC15" i="2" s="1"/>
  <c r="DA15" i="2" s="1"/>
  <c r="DL15" i="2"/>
  <c r="DE15" i="2" s="1"/>
  <c r="DH105" i="2"/>
  <c r="G105" i="2"/>
  <c r="DC105" i="2" s="1"/>
  <c r="DA105" i="2" s="1"/>
  <c r="DL105" i="2"/>
  <c r="DE105" i="2" s="1"/>
  <c r="G10" i="59"/>
  <c r="D10" i="59" s="1"/>
  <c r="C10" i="59"/>
  <c r="C9" i="59"/>
  <c r="C8" i="59"/>
  <c r="DK15" i="2" l="1"/>
  <c r="DJ15" i="2"/>
  <c r="DK105" i="2"/>
  <c r="DJ105" i="2"/>
  <c r="C11" i="58"/>
  <c r="C10" i="58"/>
  <c r="C9" i="58"/>
  <c r="C8" i="58"/>
  <c r="G10" i="36" l="1"/>
  <c r="D10" i="36" s="1"/>
  <c r="G10" i="45" l="1"/>
  <c r="D10" i="45" s="1"/>
  <c r="C9" i="35" l="1"/>
  <c r="C8" i="35"/>
  <c r="DN11" i="2" l="1"/>
  <c r="DI11" i="2"/>
  <c r="DF11" i="2"/>
  <c r="DB11" i="2"/>
  <c r="DN151" i="2"/>
  <c r="DI151" i="2"/>
  <c r="DF151" i="2"/>
  <c r="DB151" i="2"/>
  <c r="DN47" i="2"/>
  <c r="DI47" i="2"/>
  <c r="DF47" i="2"/>
  <c r="DB47" i="2"/>
  <c r="DN75" i="2"/>
  <c r="DI75" i="2"/>
  <c r="DF75" i="2"/>
  <c r="DB75" i="2"/>
  <c r="DN101" i="2"/>
  <c r="DI101" i="2"/>
  <c r="DF101" i="2"/>
  <c r="DB101" i="2"/>
  <c r="DN117" i="2"/>
  <c r="DI117" i="2"/>
  <c r="DF117" i="2"/>
  <c r="DB117" i="2"/>
  <c r="DN35" i="2"/>
  <c r="DI35" i="2"/>
  <c r="DF35" i="2"/>
  <c r="DB35" i="2"/>
  <c r="DN134" i="2"/>
  <c r="DI134" i="2"/>
  <c r="DF134" i="2"/>
  <c r="DB134" i="2"/>
  <c r="DN102" i="2"/>
  <c r="DI102" i="2"/>
  <c r="DF102" i="2"/>
  <c r="DB102" i="2"/>
  <c r="DN10" i="2"/>
  <c r="DI10" i="2"/>
  <c r="DF10" i="2"/>
  <c r="DB10" i="2"/>
  <c r="DN30" i="2"/>
  <c r="DI30" i="2"/>
  <c r="DF30" i="2"/>
  <c r="DB30" i="2"/>
  <c r="DN31" i="2"/>
  <c r="DI31" i="2"/>
  <c r="DF31" i="2"/>
  <c r="DB31" i="2"/>
  <c r="DN79" i="2"/>
  <c r="DI79" i="2"/>
  <c r="DF79" i="2"/>
  <c r="DB79" i="2"/>
  <c r="DN63" i="2"/>
  <c r="DI63" i="2"/>
  <c r="DF63" i="2"/>
  <c r="DB63" i="2"/>
  <c r="DN82" i="2"/>
  <c r="DI82" i="2"/>
  <c r="DF82" i="2"/>
  <c r="DB82" i="2"/>
  <c r="DN85" i="2"/>
  <c r="DI85" i="2"/>
  <c r="DF85" i="2"/>
  <c r="DB85" i="2"/>
  <c r="DN64" i="2"/>
  <c r="DI64" i="2"/>
  <c r="DF64" i="2"/>
  <c r="DB64" i="2"/>
  <c r="DN90" i="2"/>
  <c r="DI90" i="2"/>
  <c r="DF90" i="2"/>
  <c r="DB90" i="2"/>
  <c r="DN18" i="2"/>
  <c r="DI18" i="2"/>
  <c r="DF18" i="2"/>
  <c r="DB18" i="2"/>
  <c r="G39" i="56"/>
  <c r="D39" i="56" s="1"/>
  <c r="G38" i="56"/>
  <c r="D38" i="56" s="1"/>
  <c r="G37" i="56"/>
  <c r="D37" i="56" s="1"/>
  <c r="G36" i="56"/>
  <c r="D36" i="56" s="1"/>
  <c r="G35" i="56"/>
  <c r="D35" i="56" s="1"/>
  <c r="G34" i="56"/>
  <c r="D34" i="56" s="1"/>
  <c r="G33" i="56"/>
  <c r="D33" i="56" s="1"/>
  <c r="G32" i="56"/>
  <c r="D32" i="56" s="1"/>
  <c r="G31" i="56"/>
  <c r="D31" i="56" s="1"/>
  <c r="G30" i="56"/>
  <c r="D30" i="56" s="1"/>
  <c r="G29" i="56"/>
  <c r="D29" i="56" s="1"/>
  <c r="G28" i="56"/>
  <c r="D28" i="56" s="1"/>
  <c r="G27" i="56"/>
  <c r="D27" i="56" s="1"/>
  <c r="G26" i="56"/>
  <c r="D26" i="56" s="1"/>
  <c r="G25" i="56"/>
  <c r="D25" i="56" s="1"/>
  <c r="G24" i="56"/>
  <c r="D24" i="56" s="1"/>
  <c r="G23" i="56"/>
  <c r="D23" i="56" s="1"/>
  <c r="G22" i="56"/>
  <c r="D22" i="56" s="1"/>
  <c r="G21" i="56"/>
  <c r="D21" i="56" s="1"/>
  <c r="G20" i="56"/>
  <c r="D20" i="56" s="1"/>
  <c r="G19" i="56"/>
  <c r="D19" i="56" s="1"/>
  <c r="G18" i="56"/>
  <c r="D18" i="56" s="1"/>
  <c r="G17" i="56"/>
  <c r="D17" i="56" s="1"/>
  <c r="G16" i="56"/>
  <c r="D16" i="56" s="1"/>
  <c r="G15" i="56"/>
  <c r="D15" i="56" s="1"/>
  <c r="G14" i="56"/>
  <c r="D14" i="56" s="1"/>
  <c r="G13" i="56"/>
  <c r="D13" i="56" s="1"/>
  <c r="G12" i="56"/>
  <c r="D12" i="56" s="1"/>
  <c r="G11" i="56"/>
  <c r="D11" i="56" s="1"/>
  <c r="G10" i="56"/>
  <c r="D10" i="56" s="1"/>
  <c r="C18" i="56"/>
  <c r="C12" i="56"/>
  <c r="C9" i="56"/>
  <c r="C38" i="56"/>
  <c r="C39" i="56"/>
  <c r="C30" i="56"/>
  <c r="C36" i="56"/>
  <c r="C37" i="56"/>
  <c r="C21" i="56"/>
  <c r="C34" i="56"/>
  <c r="C35" i="56"/>
  <c r="C33" i="56"/>
  <c r="C32" i="56"/>
  <c r="C20" i="56"/>
  <c r="C31" i="56"/>
  <c r="C8" i="56"/>
  <c r="C19" i="56"/>
  <c r="C29" i="56"/>
  <c r="C28" i="56"/>
  <c r="C27" i="56"/>
  <c r="C10" i="56"/>
  <c r="C26" i="56"/>
  <c r="C17" i="56"/>
  <c r="C25" i="56"/>
  <c r="C15" i="56"/>
  <c r="C14" i="56"/>
  <c r="C13" i="56"/>
  <c r="C11" i="56"/>
  <c r="C24" i="56"/>
  <c r="C23" i="56"/>
  <c r="C16" i="56"/>
  <c r="C22" i="56"/>
  <c r="G17" i="52"/>
  <c r="G12" i="52"/>
  <c r="D12" i="52" s="1"/>
  <c r="G9" i="52"/>
  <c r="D9" i="52" s="1"/>
  <c r="G39" i="52"/>
  <c r="D39" i="52" s="1"/>
  <c r="G38" i="52"/>
  <c r="D38" i="52" s="1"/>
  <c r="G37" i="52"/>
  <c r="D37" i="52" s="1"/>
  <c r="G19" i="52"/>
  <c r="G36" i="52"/>
  <c r="D36" i="52" s="1"/>
  <c r="G35" i="52"/>
  <c r="D35" i="52" s="1"/>
  <c r="G34" i="52"/>
  <c r="D34" i="52" s="1"/>
  <c r="G33" i="52"/>
  <c r="D33" i="52" s="1"/>
  <c r="G32" i="52"/>
  <c r="D32" i="52" s="1"/>
  <c r="G31" i="52"/>
  <c r="G30" i="52"/>
  <c r="G29" i="52"/>
  <c r="G8" i="52"/>
  <c r="D8" i="52" s="1"/>
  <c r="G15" i="52"/>
  <c r="D15" i="52" s="1"/>
  <c r="G18" i="52"/>
  <c r="G28" i="52"/>
  <c r="D29" i="52" s="1"/>
  <c r="G27" i="52"/>
  <c r="G26" i="52"/>
  <c r="G10" i="52"/>
  <c r="D10" i="52" s="1"/>
  <c r="G25" i="52"/>
  <c r="G24" i="52"/>
  <c r="G14" i="52"/>
  <c r="D14" i="52" s="1"/>
  <c r="G23" i="52"/>
  <c r="G11" i="52"/>
  <c r="D11" i="52" s="1"/>
  <c r="G13" i="52"/>
  <c r="D13" i="52" s="1"/>
  <c r="G22" i="52"/>
  <c r="G21" i="52"/>
  <c r="C18" i="52"/>
  <c r="C12" i="52"/>
  <c r="C9" i="52"/>
  <c r="C39" i="52"/>
  <c r="C38" i="52"/>
  <c r="C37" i="52"/>
  <c r="C21" i="52"/>
  <c r="C36" i="52"/>
  <c r="C35" i="52"/>
  <c r="C34" i="52"/>
  <c r="C33" i="52"/>
  <c r="C32" i="52"/>
  <c r="C20" i="52"/>
  <c r="C31" i="52"/>
  <c r="C30" i="52"/>
  <c r="C8" i="52"/>
  <c r="C15" i="52"/>
  <c r="C19" i="52"/>
  <c r="C29" i="52"/>
  <c r="C28" i="52"/>
  <c r="C27" i="52"/>
  <c r="C10" i="52"/>
  <c r="C26" i="52"/>
  <c r="C17" i="52"/>
  <c r="C14" i="52"/>
  <c r="C25" i="52"/>
  <c r="C11" i="52"/>
  <c r="C13" i="52"/>
  <c r="C24" i="52"/>
  <c r="C23" i="52"/>
  <c r="C16" i="52"/>
  <c r="C22" i="52"/>
  <c r="D23" i="52" l="1"/>
  <c r="D17" i="52"/>
  <c r="F5" i="52"/>
  <c r="D26" i="52"/>
  <c r="D30" i="52"/>
  <c r="D21" i="52"/>
  <c r="D28" i="52"/>
  <c r="D25" i="52"/>
  <c r="D19" i="52"/>
  <c r="D31" i="52"/>
  <c r="D24" i="52"/>
  <c r="D27" i="52"/>
  <c r="D18" i="52"/>
  <c r="E39" i="52"/>
  <c r="AM11" i="2" s="1"/>
  <c r="E22" i="52"/>
  <c r="AM90" i="2" s="1"/>
  <c r="E9" i="52"/>
  <c r="AM92" i="2" s="1"/>
  <c r="E13" i="52"/>
  <c r="AM5" i="2" s="1"/>
  <c r="E18" i="52"/>
  <c r="AM24" i="2" s="1"/>
  <c r="E23" i="52"/>
  <c r="AM64" i="2" s="1"/>
  <c r="E26" i="52"/>
  <c r="AM63" i="2" s="1"/>
  <c r="E30" i="52"/>
  <c r="AM10" i="2" s="1"/>
  <c r="E33" i="52"/>
  <c r="AM35" i="2" s="1"/>
  <c r="E37" i="52"/>
  <c r="AM47" i="2" s="1"/>
  <c r="E8" i="52"/>
  <c r="AM22" i="2" s="1"/>
  <c r="E12" i="52"/>
  <c r="AM40" i="2" s="1"/>
  <c r="E16" i="52"/>
  <c r="AM113" i="2" s="1"/>
  <c r="E17" i="52"/>
  <c r="AM114" i="2" s="1"/>
  <c r="E29" i="52"/>
  <c r="AM30" i="2" s="1"/>
  <c r="E32" i="52"/>
  <c r="AM134" i="2" s="1"/>
  <c r="E36" i="52"/>
  <c r="AM75" i="2" s="1"/>
  <c r="E10" i="52"/>
  <c r="AM87" i="2" s="1"/>
  <c r="E14" i="52"/>
  <c r="AM140" i="2" s="1"/>
  <c r="E19" i="52"/>
  <c r="AM98" i="2" s="1"/>
  <c r="E24" i="52"/>
  <c r="AM85" i="2" s="1"/>
  <c r="E27" i="52"/>
  <c r="AM79" i="2" s="1"/>
  <c r="E31" i="52"/>
  <c r="AM102" i="2" s="1"/>
  <c r="E34" i="52"/>
  <c r="AM117" i="2" s="1"/>
  <c r="E38" i="52"/>
  <c r="AM151" i="2" s="1"/>
  <c r="E11" i="52"/>
  <c r="AM143" i="2" s="1"/>
  <c r="E15" i="52"/>
  <c r="AM27" i="2" s="1"/>
  <c r="E21" i="52"/>
  <c r="AM110" i="2" s="1"/>
  <c r="E25" i="52"/>
  <c r="AM82" i="2" s="1"/>
  <c r="E28" i="52"/>
  <c r="AM31" i="2" s="1"/>
  <c r="E20" i="52"/>
  <c r="AM81" i="2" s="1"/>
  <c r="E35" i="52"/>
  <c r="AM101" i="2" s="1"/>
  <c r="G8" i="34"/>
  <c r="D8" i="34" s="1"/>
  <c r="C8" i="34"/>
  <c r="C9" i="34"/>
  <c r="C10" i="34"/>
  <c r="DJ136" i="2" l="1"/>
  <c r="DN152" i="2"/>
  <c r="DI152" i="2"/>
  <c r="DB152" i="2"/>
  <c r="DN150" i="2"/>
  <c r="DI150" i="2"/>
  <c r="DB150" i="2"/>
  <c r="DN149" i="2"/>
  <c r="DE149" i="2"/>
  <c r="DI149" i="2"/>
  <c r="DH149" i="2"/>
  <c r="DG149" i="2"/>
  <c r="DF149" i="2"/>
  <c r="DB149" i="2"/>
  <c r="G149" i="2"/>
  <c r="DC149" i="2" s="1"/>
  <c r="DA149" i="2" s="1"/>
  <c r="DN148" i="2"/>
  <c r="DI148" i="2"/>
  <c r="DF148" i="2"/>
  <c r="DB148" i="2"/>
  <c r="DN145" i="2"/>
  <c r="DI145" i="2"/>
  <c r="DB145" i="2"/>
  <c r="DN144" i="2"/>
  <c r="DI144" i="2"/>
  <c r="DF144" i="2"/>
  <c r="DB144" i="2"/>
  <c r="DN143" i="2"/>
  <c r="DI143" i="2"/>
  <c r="DF143" i="2"/>
  <c r="DB143" i="2"/>
  <c r="DN142" i="2"/>
  <c r="DI142" i="2"/>
  <c r="DB142" i="2"/>
  <c r="DN141" i="2"/>
  <c r="DI141" i="2"/>
  <c r="DB141" i="2"/>
  <c r="DN140" i="2"/>
  <c r="DI140" i="2"/>
  <c r="DF140" i="2"/>
  <c r="DB140" i="2"/>
  <c r="DN138" i="2"/>
  <c r="DI138" i="2"/>
  <c r="DB138" i="2"/>
  <c r="DN137" i="2"/>
  <c r="DI137" i="2"/>
  <c r="DB137" i="2"/>
  <c r="DN136" i="2"/>
  <c r="DI136" i="2"/>
  <c r="DF136" i="2"/>
  <c r="DB136" i="2"/>
  <c r="DN132" i="2"/>
  <c r="DE132" i="2"/>
  <c r="DI132" i="2"/>
  <c r="DH132" i="2"/>
  <c r="DG132" i="2"/>
  <c r="DF132" i="2"/>
  <c r="DB132" i="2"/>
  <c r="G132" i="2"/>
  <c r="DC132" i="2" s="1"/>
  <c r="DA132" i="2" s="1"/>
  <c r="DK132" i="2" s="1"/>
  <c r="DN131" i="2"/>
  <c r="DI131" i="2"/>
  <c r="DB131" i="2"/>
  <c r="DN130" i="2"/>
  <c r="DE130" i="2"/>
  <c r="DI130" i="2"/>
  <c r="DH130" i="2"/>
  <c r="DG130" i="2"/>
  <c r="DF130" i="2"/>
  <c r="DB130" i="2"/>
  <c r="G130" i="2"/>
  <c r="DC130" i="2" s="1"/>
  <c r="DA130" i="2" s="1"/>
  <c r="DK130" i="2" s="1"/>
  <c r="DN129" i="2"/>
  <c r="DE129" i="2"/>
  <c r="DI129" i="2"/>
  <c r="DH129" i="2"/>
  <c r="DG129" i="2"/>
  <c r="DF129" i="2"/>
  <c r="DB129" i="2"/>
  <c r="G129" i="2"/>
  <c r="DC129" i="2" s="1"/>
  <c r="DA129" i="2" s="1"/>
  <c r="DK129" i="2" s="1"/>
  <c r="DN128" i="2"/>
  <c r="DE128" i="2"/>
  <c r="DI128" i="2"/>
  <c r="DH128" i="2"/>
  <c r="DG128" i="2"/>
  <c r="DF128" i="2"/>
  <c r="DB128" i="2"/>
  <c r="G128" i="2"/>
  <c r="DC128" i="2" s="1"/>
  <c r="DA128" i="2" s="1"/>
  <c r="DK128" i="2" s="1"/>
  <c r="DN127" i="2"/>
  <c r="DE127" i="2"/>
  <c r="DI127" i="2"/>
  <c r="DH127" i="2"/>
  <c r="DG127" i="2"/>
  <c r="DF127" i="2"/>
  <c r="DB127" i="2"/>
  <c r="G127" i="2"/>
  <c r="DC127" i="2" s="1"/>
  <c r="DA127" i="2" s="1"/>
  <c r="DK127" i="2" s="1"/>
  <c r="DN125" i="2"/>
  <c r="DE125" i="2"/>
  <c r="DI125" i="2"/>
  <c r="DH125" i="2"/>
  <c r="DG125" i="2"/>
  <c r="DF125" i="2"/>
  <c r="DB125" i="2"/>
  <c r="G125" i="2"/>
  <c r="DC125" i="2" s="1"/>
  <c r="DA125" i="2" s="1"/>
  <c r="DK125" i="2" s="1"/>
  <c r="DN124" i="2"/>
  <c r="DE124" i="2"/>
  <c r="DI124" i="2"/>
  <c r="DH124" i="2"/>
  <c r="DG124" i="2"/>
  <c r="DF124" i="2"/>
  <c r="DB124" i="2"/>
  <c r="G124" i="2"/>
  <c r="DC124" i="2" s="1"/>
  <c r="DA124" i="2" s="1"/>
  <c r="DK124" i="2" s="1"/>
  <c r="DN123" i="2"/>
  <c r="DI123" i="2"/>
  <c r="DB123" i="2"/>
  <c r="DN120" i="2"/>
  <c r="DI120" i="2"/>
  <c r="DB120" i="2"/>
  <c r="DN118" i="2"/>
  <c r="DI118" i="2"/>
  <c r="DB118" i="2"/>
  <c r="DN116" i="2"/>
  <c r="DE116" i="2"/>
  <c r="DI116" i="2"/>
  <c r="DH116" i="2"/>
  <c r="DG116" i="2"/>
  <c r="DF116" i="2"/>
  <c r="DB116" i="2"/>
  <c r="G116" i="2"/>
  <c r="DC116" i="2" s="1"/>
  <c r="DA116" i="2" s="1"/>
  <c r="DK116" i="2" s="1"/>
  <c r="DN115" i="2"/>
  <c r="DI115" i="2"/>
  <c r="DB115" i="2"/>
  <c r="DN114" i="2"/>
  <c r="DI114" i="2"/>
  <c r="DF114" i="2"/>
  <c r="DB114" i="2"/>
  <c r="DN113" i="2"/>
  <c r="DI113" i="2"/>
  <c r="DF113" i="2"/>
  <c r="DB113" i="2"/>
  <c r="DN111" i="2"/>
  <c r="DE111" i="2"/>
  <c r="DI111" i="2"/>
  <c r="DH111" i="2"/>
  <c r="DG111" i="2"/>
  <c r="DF111" i="2"/>
  <c r="DB111" i="2"/>
  <c r="G111" i="2"/>
  <c r="DC111" i="2" s="1"/>
  <c r="DA111" i="2" s="1"/>
  <c r="DK111" i="2" s="1"/>
  <c r="DN110" i="2"/>
  <c r="DI110" i="2"/>
  <c r="DF110" i="2"/>
  <c r="DB110" i="2"/>
  <c r="DN109" i="2"/>
  <c r="DI109" i="2"/>
  <c r="DB109" i="2"/>
  <c r="DN108" i="2"/>
  <c r="DE108" i="2"/>
  <c r="DI108" i="2"/>
  <c r="DH108" i="2"/>
  <c r="DG108" i="2"/>
  <c r="DF108" i="2"/>
  <c r="DB108" i="2"/>
  <c r="G108" i="2"/>
  <c r="DC108" i="2" s="1"/>
  <c r="DA108" i="2" s="1"/>
  <c r="DK108" i="2" s="1"/>
  <c r="DN106" i="2"/>
  <c r="DE106" i="2"/>
  <c r="DI106" i="2"/>
  <c r="DH106" i="2"/>
  <c r="DG106" i="2"/>
  <c r="DF106" i="2"/>
  <c r="DB106" i="2"/>
  <c r="G106" i="2"/>
  <c r="DC106" i="2" s="1"/>
  <c r="DA106" i="2" s="1"/>
  <c r="DK106" i="2" s="1"/>
  <c r="DN104" i="2"/>
  <c r="DI104" i="2"/>
  <c r="DB104" i="2"/>
  <c r="DN99" i="2"/>
  <c r="DE99" i="2"/>
  <c r="DI99" i="2"/>
  <c r="DH99" i="2"/>
  <c r="DG99" i="2"/>
  <c r="DF99" i="2"/>
  <c r="DB99" i="2"/>
  <c r="G99" i="2"/>
  <c r="DC99" i="2" s="1"/>
  <c r="DA99" i="2" s="1"/>
  <c r="DK99" i="2" s="1"/>
  <c r="DN98" i="2"/>
  <c r="DI98" i="2"/>
  <c r="DF98" i="2"/>
  <c r="DB98" i="2"/>
  <c r="DN96" i="2"/>
  <c r="DE96" i="2"/>
  <c r="DI96" i="2"/>
  <c r="DH96" i="2"/>
  <c r="DG96" i="2"/>
  <c r="DF96" i="2"/>
  <c r="DB96" i="2"/>
  <c r="G96" i="2"/>
  <c r="DC96" i="2" s="1"/>
  <c r="DA96" i="2" s="1"/>
  <c r="DK96" i="2" s="1"/>
  <c r="DN93" i="2"/>
  <c r="DI93" i="2"/>
  <c r="DG93" i="2"/>
  <c r="DF93" i="2"/>
  <c r="DB93" i="2"/>
  <c r="DN92" i="2"/>
  <c r="DI92" i="2"/>
  <c r="DF92" i="2"/>
  <c r="DB92" i="2"/>
  <c r="DN91" i="2"/>
  <c r="DE91" i="2"/>
  <c r="DI91" i="2"/>
  <c r="DH91" i="2"/>
  <c r="DG91" i="2"/>
  <c r="DF91" i="2"/>
  <c r="DB91" i="2"/>
  <c r="G91" i="2"/>
  <c r="DC91" i="2" s="1"/>
  <c r="DA91" i="2" s="1"/>
  <c r="DK91" i="2" s="1"/>
  <c r="DN89" i="2"/>
  <c r="DI89" i="2"/>
  <c r="DB89" i="2"/>
  <c r="DN88" i="2"/>
  <c r="DI88" i="2"/>
  <c r="DB88" i="2"/>
  <c r="DN87" i="2"/>
  <c r="DI87" i="2"/>
  <c r="DF87" i="2"/>
  <c r="DB87" i="2"/>
  <c r="DN86" i="2"/>
  <c r="DI86" i="2"/>
  <c r="DB86" i="2"/>
  <c r="DN84" i="2"/>
  <c r="DI84" i="2"/>
  <c r="DB84" i="2"/>
  <c r="DN83" i="2"/>
  <c r="DI83" i="2"/>
  <c r="DB83" i="2"/>
  <c r="DN81" i="2"/>
  <c r="DI81" i="2"/>
  <c r="DF81" i="2"/>
  <c r="DB81" i="2"/>
  <c r="DN80" i="2"/>
  <c r="DI80" i="2"/>
  <c r="DB80" i="2"/>
  <c r="DN77" i="2"/>
  <c r="DE77" i="2"/>
  <c r="DI77" i="2"/>
  <c r="DH77" i="2"/>
  <c r="DG77" i="2"/>
  <c r="DF77" i="2"/>
  <c r="DB77" i="2"/>
  <c r="G77" i="2"/>
  <c r="DC77" i="2" s="1"/>
  <c r="DA77" i="2" s="1"/>
  <c r="DK77" i="2" s="1"/>
  <c r="DN74" i="2"/>
  <c r="DI74" i="2"/>
  <c r="DB74" i="2"/>
  <c r="DN73" i="2"/>
  <c r="DI73" i="2"/>
  <c r="DF73" i="2"/>
  <c r="DB73" i="2"/>
  <c r="DN69" i="2"/>
  <c r="DI69" i="2"/>
  <c r="DG69" i="2"/>
  <c r="DF69" i="2"/>
  <c r="DB69" i="2"/>
  <c r="DN68" i="2"/>
  <c r="DI68" i="2"/>
  <c r="DB68" i="2"/>
  <c r="DN67" i="2"/>
  <c r="DE67" i="2"/>
  <c r="DI67" i="2"/>
  <c r="DH67" i="2"/>
  <c r="DG67" i="2"/>
  <c r="DF67" i="2"/>
  <c r="DB67" i="2"/>
  <c r="G67" i="2"/>
  <c r="DC67" i="2" s="1"/>
  <c r="DA67" i="2" s="1"/>
  <c r="DK67" i="2" s="1"/>
  <c r="DN66" i="2"/>
  <c r="DI66" i="2"/>
  <c r="DB66" i="2"/>
  <c r="DN65" i="2"/>
  <c r="DI65" i="2"/>
  <c r="DB65" i="2"/>
  <c r="DN62" i="2"/>
  <c r="DI62" i="2"/>
  <c r="DB62" i="2"/>
  <c r="DN61" i="2"/>
  <c r="DE61" i="2"/>
  <c r="DI61" i="2"/>
  <c r="DH61" i="2"/>
  <c r="DG61" i="2"/>
  <c r="DF61" i="2"/>
  <c r="DB61" i="2"/>
  <c r="G61" i="2"/>
  <c r="DC61" i="2" s="1"/>
  <c r="DA61" i="2" s="1"/>
  <c r="DK61" i="2" s="1"/>
  <c r="DN60" i="2"/>
  <c r="DI60" i="2"/>
  <c r="DB60" i="2"/>
  <c r="DN59" i="2"/>
  <c r="DI59" i="2"/>
  <c r="DB59" i="2"/>
  <c r="DN58" i="2"/>
  <c r="DE58" i="2"/>
  <c r="DI58" i="2"/>
  <c r="DH58" i="2"/>
  <c r="DG58" i="2"/>
  <c r="DF58" i="2"/>
  <c r="DB58" i="2"/>
  <c r="G58" i="2"/>
  <c r="DC58" i="2" s="1"/>
  <c r="DA58" i="2" s="1"/>
  <c r="DK58" i="2" s="1"/>
  <c r="DN57" i="2"/>
  <c r="DI57" i="2"/>
  <c r="DB57" i="2"/>
  <c r="DN56" i="2"/>
  <c r="DI56" i="2"/>
  <c r="DB56" i="2"/>
  <c r="DN55" i="2"/>
  <c r="DE55" i="2"/>
  <c r="DI55" i="2"/>
  <c r="DH55" i="2"/>
  <c r="DG55" i="2"/>
  <c r="DF55" i="2"/>
  <c r="DB55" i="2"/>
  <c r="G55" i="2"/>
  <c r="DC55" i="2" s="1"/>
  <c r="DA55" i="2" s="1"/>
  <c r="DK55" i="2" s="1"/>
  <c r="DN54" i="2"/>
  <c r="DI54" i="2"/>
  <c r="DF54" i="2"/>
  <c r="DB54" i="2"/>
  <c r="DN53" i="2"/>
  <c r="DI53" i="2"/>
  <c r="DF53" i="2"/>
  <c r="DB53" i="2"/>
  <c r="DN52" i="2"/>
  <c r="DE52" i="2"/>
  <c r="DI52" i="2"/>
  <c r="DH52" i="2"/>
  <c r="DG52" i="2"/>
  <c r="DF52" i="2"/>
  <c r="DB52" i="2"/>
  <c r="G52" i="2"/>
  <c r="DC52" i="2" s="1"/>
  <c r="DA52" i="2" s="1"/>
  <c r="DN51" i="2"/>
  <c r="DE51" i="2"/>
  <c r="DI51" i="2"/>
  <c r="DH51" i="2"/>
  <c r="DG51" i="2"/>
  <c r="DF51" i="2"/>
  <c r="DB51" i="2"/>
  <c r="G51" i="2"/>
  <c r="DC51" i="2" s="1"/>
  <c r="DA51" i="2" s="1"/>
  <c r="DK51" i="2" s="1"/>
  <c r="DN50" i="2"/>
  <c r="DI50" i="2"/>
  <c r="DF50" i="2"/>
  <c r="DB50" i="2"/>
  <c r="DN48" i="2"/>
  <c r="DI48" i="2"/>
  <c r="DB48" i="2"/>
  <c r="DN46" i="2"/>
  <c r="DI46" i="2"/>
  <c r="DB46" i="2"/>
  <c r="DN45" i="2"/>
  <c r="DI45" i="2"/>
  <c r="DB45" i="2"/>
  <c r="DN44" i="2"/>
  <c r="DI44" i="2"/>
  <c r="DB44" i="2"/>
  <c r="DN43" i="2"/>
  <c r="DI43" i="2"/>
  <c r="DB43" i="2"/>
  <c r="DN42" i="2"/>
  <c r="DI42" i="2"/>
  <c r="DG42" i="2"/>
  <c r="DF42" i="2"/>
  <c r="DB42" i="2"/>
  <c r="DN41" i="2"/>
  <c r="DI41" i="2"/>
  <c r="DB41" i="2"/>
  <c r="DN40" i="2"/>
  <c r="DI40" i="2"/>
  <c r="DF40" i="2"/>
  <c r="DB40" i="2"/>
  <c r="DN39" i="2"/>
  <c r="DI39" i="2"/>
  <c r="DB39" i="2"/>
  <c r="DN38" i="2"/>
  <c r="DE38" i="2"/>
  <c r="DI38" i="2"/>
  <c r="DH38" i="2"/>
  <c r="DG38" i="2"/>
  <c r="DF38" i="2"/>
  <c r="DB38" i="2"/>
  <c r="G38" i="2"/>
  <c r="DC38" i="2" s="1"/>
  <c r="DA38" i="2" s="1"/>
  <c r="DK38" i="2" s="1"/>
  <c r="DN37" i="2"/>
  <c r="DE37" i="2"/>
  <c r="DI37" i="2"/>
  <c r="DH37" i="2"/>
  <c r="DG37" i="2"/>
  <c r="DF37" i="2"/>
  <c r="DB37" i="2"/>
  <c r="G37" i="2"/>
  <c r="DC37" i="2" s="1"/>
  <c r="DA37" i="2" s="1"/>
  <c r="DK37" i="2" s="1"/>
  <c r="DN34" i="2"/>
  <c r="DI34" i="2"/>
  <c r="DB34" i="2"/>
  <c r="DN33" i="2"/>
  <c r="DI33" i="2"/>
  <c r="DF33" i="2"/>
  <c r="DB33" i="2"/>
  <c r="DN29" i="2"/>
  <c r="DI29" i="2"/>
  <c r="DB29" i="2"/>
  <c r="DN28" i="2"/>
  <c r="DI28" i="2"/>
  <c r="DF28" i="2"/>
  <c r="DB28" i="2"/>
  <c r="DN27" i="2"/>
  <c r="DI27" i="2"/>
  <c r="DF27" i="2"/>
  <c r="DB27" i="2"/>
  <c r="DN26" i="2"/>
  <c r="DI26" i="2"/>
  <c r="DB26" i="2"/>
  <c r="DN25" i="2"/>
  <c r="DI25" i="2"/>
  <c r="DB25" i="2"/>
  <c r="DN24" i="2"/>
  <c r="DI24" i="2"/>
  <c r="DF24" i="2"/>
  <c r="DB24" i="2"/>
  <c r="DN23" i="2"/>
  <c r="DI23" i="2"/>
  <c r="DB23" i="2"/>
  <c r="DN22" i="2"/>
  <c r="DI22" i="2"/>
  <c r="DB22" i="2"/>
  <c r="DN21" i="2"/>
  <c r="DI21" i="2"/>
  <c r="DF21" i="2"/>
  <c r="DB21" i="2"/>
  <c r="DN20" i="2"/>
  <c r="DE20" i="2"/>
  <c r="DI20" i="2"/>
  <c r="DH20" i="2"/>
  <c r="DG20" i="2"/>
  <c r="DF20" i="2"/>
  <c r="DB20" i="2"/>
  <c r="G20" i="2"/>
  <c r="DC20" i="2" s="1"/>
  <c r="DA20" i="2" s="1"/>
  <c r="DK20" i="2" s="1"/>
  <c r="DN19" i="2"/>
  <c r="DE19" i="2"/>
  <c r="DI19" i="2"/>
  <c r="DH19" i="2"/>
  <c r="DG19" i="2"/>
  <c r="DF19" i="2"/>
  <c r="DB19" i="2"/>
  <c r="G19" i="2"/>
  <c r="DC19" i="2" s="1"/>
  <c r="DA19" i="2" s="1"/>
  <c r="DK19" i="2" s="1"/>
  <c r="DN17" i="2"/>
  <c r="DI17" i="2"/>
  <c r="DB17" i="2"/>
  <c r="DN16" i="2"/>
  <c r="DI16" i="2"/>
  <c r="DB16" i="2"/>
  <c r="DN14" i="2"/>
  <c r="DI14" i="2"/>
  <c r="DG14" i="2"/>
  <c r="DF14" i="2"/>
  <c r="DB14" i="2"/>
  <c r="DN13" i="2"/>
  <c r="DI13" i="2"/>
  <c r="DB13" i="2"/>
  <c r="DN12" i="2"/>
  <c r="DE12" i="2"/>
  <c r="DI12" i="2"/>
  <c r="DH12" i="2"/>
  <c r="DG12" i="2"/>
  <c r="DF12" i="2"/>
  <c r="DB12" i="2"/>
  <c r="G12" i="2"/>
  <c r="DC12" i="2" s="1"/>
  <c r="DA12" i="2" s="1"/>
  <c r="DK12" i="2" s="1"/>
  <c r="DJ149" i="2" l="1"/>
  <c r="DK149" i="2"/>
  <c r="DJ52" i="2"/>
  <c r="DK52" i="2"/>
  <c r="DJ111" i="2"/>
  <c r="DJ127" i="2"/>
  <c r="DJ124" i="2"/>
  <c r="DJ129" i="2"/>
  <c r="DJ12" i="2"/>
  <c r="DJ20" i="2"/>
  <c r="DJ61" i="2"/>
  <c r="DJ106" i="2"/>
  <c r="DJ58" i="2"/>
  <c r="DJ37" i="2"/>
  <c r="DJ77" i="2"/>
  <c r="DJ91" i="2"/>
  <c r="DJ96" i="2"/>
  <c r="DJ99" i="2"/>
  <c r="DJ108" i="2"/>
  <c r="DJ38" i="2"/>
  <c r="DJ51" i="2"/>
  <c r="DJ55" i="2"/>
  <c r="DJ19" i="2"/>
  <c r="DJ67" i="2"/>
  <c r="DJ116" i="2"/>
  <c r="DJ125" i="2"/>
  <c r="DJ128" i="2"/>
  <c r="DJ130" i="2"/>
  <c r="DJ132" i="2"/>
  <c r="G10" i="33"/>
  <c r="D10" i="33" s="1"/>
  <c r="G8" i="47" l="1"/>
  <c r="D8" i="47" s="1"/>
  <c r="C8" i="47"/>
  <c r="C9" i="47"/>
  <c r="C10" i="47"/>
  <c r="G8" i="100" l="1"/>
  <c r="D8" i="100" s="1"/>
  <c r="G15" i="87" l="1"/>
  <c r="D15" i="87" s="1"/>
  <c r="G14" i="87"/>
  <c r="D14" i="87" s="1"/>
  <c r="G13" i="87"/>
  <c r="D13" i="87" s="1"/>
  <c r="G12" i="87"/>
  <c r="D12" i="87" s="1"/>
  <c r="G11" i="87"/>
  <c r="D11" i="87" s="1"/>
  <c r="G12" i="29" l="1"/>
  <c r="D12" i="29" s="1"/>
  <c r="G11" i="29"/>
  <c r="D11" i="29" s="1"/>
  <c r="F14" i="15" l="1"/>
  <c r="F13" i="15"/>
  <c r="E14" i="15"/>
  <c r="C9" i="15" s="1"/>
  <c r="E13" i="15"/>
  <c r="C8" i="15" s="1"/>
  <c r="G10" i="27" l="1"/>
  <c r="G8" i="27"/>
  <c r="G11" i="32" l="1"/>
  <c r="D11" i="32" s="1"/>
  <c r="G9" i="32"/>
  <c r="D9" i="32" s="1"/>
  <c r="G11" i="16" l="1"/>
  <c r="D11" i="16" s="1"/>
  <c r="G31" i="23" l="1"/>
  <c r="D31" i="23" s="1"/>
  <c r="G30" i="23"/>
  <c r="D30" i="23" s="1"/>
  <c r="G29" i="23"/>
  <c r="D29" i="23" s="1"/>
  <c r="G28" i="23"/>
  <c r="D28" i="23" s="1"/>
  <c r="G27" i="23"/>
  <c r="D27" i="23" s="1"/>
  <c r="G26" i="23"/>
  <c r="D26" i="23" s="1"/>
  <c r="G25" i="23"/>
  <c r="D25" i="23" s="1"/>
  <c r="G24" i="23"/>
  <c r="D24" i="23" s="1"/>
  <c r="G23" i="23"/>
  <c r="D23" i="23" s="1"/>
  <c r="G22" i="23"/>
  <c r="D22" i="23" s="1"/>
  <c r="G21" i="23"/>
  <c r="D21" i="23" s="1"/>
  <c r="G20" i="23"/>
  <c r="D20" i="23" s="1"/>
  <c r="G19" i="23"/>
  <c r="D19" i="23" s="1"/>
  <c r="G18" i="23"/>
  <c r="D18" i="23" s="1"/>
  <c r="G17" i="23"/>
  <c r="D17" i="23" s="1"/>
  <c r="G16" i="23"/>
  <c r="D16" i="23" s="1"/>
  <c r="G32" i="14"/>
  <c r="D32" i="14" s="1"/>
  <c r="G18" i="14"/>
  <c r="D18" i="14" s="1"/>
  <c r="G31" i="14"/>
  <c r="D31" i="14" s="1"/>
  <c r="G30" i="14"/>
  <c r="D30" i="14" s="1"/>
  <c r="G17" i="14"/>
  <c r="D17" i="14" s="1"/>
  <c r="G29" i="14"/>
  <c r="D29" i="14" s="1"/>
  <c r="G28" i="14"/>
  <c r="D28" i="14" s="1"/>
  <c r="G27" i="14"/>
  <c r="D27" i="14" s="1"/>
  <c r="G26" i="14"/>
  <c r="D26" i="14" s="1"/>
  <c r="G25" i="14"/>
  <c r="D25" i="14" s="1"/>
  <c r="G15" i="14"/>
  <c r="D15" i="14" s="1"/>
  <c r="G24" i="14"/>
  <c r="D24" i="14" s="1"/>
  <c r="G23" i="14"/>
  <c r="D23" i="14" s="1"/>
  <c r="G22" i="14"/>
  <c r="D22" i="14" s="1"/>
  <c r="G16" i="14"/>
  <c r="D16" i="14" s="1"/>
  <c r="G21" i="14"/>
  <c r="D21" i="14" s="1"/>
  <c r="G20" i="14"/>
  <c r="D20" i="14" s="1"/>
  <c r="G13" i="14"/>
  <c r="D13" i="14" s="1"/>
  <c r="G11" i="14"/>
  <c r="D11" i="14" s="1"/>
  <c r="G10" i="14"/>
  <c r="D10" i="14" s="1"/>
  <c r="G9" i="14"/>
  <c r="D9" i="14" s="1"/>
  <c r="G19" i="14"/>
  <c r="D19" i="14" s="1"/>
  <c r="G14" i="14"/>
  <c r="D14" i="14" s="1"/>
  <c r="C32" i="14"/>
  <c r="C18" i="14"/>
  <c r="C31" i="14"/>
  <c r="C30" i="14"/>
  <c r="C17" i="14"/>
  <c r="C29" i="14"/>
  <c r="C28" i="14"/>
  <c r="C27" i="14"/>
  <c r="C26" i="14"/>
  <c r="C25" i="14"/>
  <c r="C15" i="14"/>
  <c r="C24" i="14"/>
  <c r="C23" i="14"/>
  <c r="C22" i="14"/>
  <c r="C16" i="14"/>
  <c r="C21" i="14"/>
  <c r="C20" i="14"/>
  <c r="C13" i="14"/>
  <c r="C11" i="14"/>
  <c r="C10" i="14"/>
  <c r="C9" i="14"/>
  <c r="C19" i="14"/>
  <c r="C14" i="14"/>
  <c r="C8" i="14"/>
  <c r="C12" i="14"/>
  <c r="G17" i="13" l="1"/>
  <c r="D17" i="13" s="1"/>
  <c r="G16" i="13"/>
  <c r="D16" i="13" s="1"/>
  <c r="G15" i="13"/>
  <c r="D15" i="13" s="1"/>
  <c r="G14" i="13"/>
  <c r="D14" i="13" s="1"/>
  <c r="G13" i="13"/>
  <c r="D13" i="13" s="1"/>
  <c r="G12" i="13"/>
  <c r="D12" i="13" s="1"/>
  <c r="G11" i="13"/>
  <c r="D11" i="13" s="1"/>
  <c r="C17" i="13"/>
  <c r="C16" i="13"/>
  <c r="C15" i="13"/>
  <c r="C14" i="13"/>
  <c r="C13" i="13"/>
  <c r="C12" i="13"/>
  <c r="C11" i="13"/>
  <c r="C10" i="13"/>
  <c r="C9" i="13"/>
  <c r="C8" i="13"/>
  <c r="G15" i="12" l="1"/>
  <c r="D15" i="12" s="1"/>
  <c r="G18" i="12"/>
  <c r="D18" i="12" s="1"/>
  <c r="G17" i="12"/>
  <c r="D17" i="12" s="1"/>
  <c r="G16" i="12"/>
  <c r="D16" i="12" s="1"/>
  <c r="G14" i="12"/>
  <c r="D14" i="12" s="1"/>
  <c r="G13" i="12"/>
  <c r="D13" i="12" s="1"/>
  <c r="G8" i="12"/>
  <c r="D8" i="12" s="1"/>
  <c r="G18" i="11" l="1"/>
  <c r="D18" i="11" s="1"/>
  <c r="G17" i="11"/>
  <c r="D17" i="11" s="1"/>
  <c r="G16" i="11"/>
  <c r="D16" i="11" s="1"/>
  <c r="G15" i="11"/>
  <c r="D15" i="11" s="1"/>
  <c r="G14" i="11"/>
  <c r="D14" i="11" s="1"/>
  <c r="G13" i="11"/>
  <c r="D13" i="11" s="1"/>
  <c r="G12" i="11"/>
  <c r="D12" i="11" s="1"/>
  <c r="G11" i="11"/>
  <c r="D11" i="11" s="1"/>
  <c r="G10" i="11"/>
  <c r="D10" i="11" s="1"/>
  <c r="G18" i="10" l="1"/>
  <c r="D18" i="10" s="1"/>
  <c r="G17" i="10"/>
  <c r="D17" i="10" s="1"/>
  <c r="G16" i="10"/>
  <c r="D16" i="10" s="1"/>
  <c r="G15" i="10"/>
  <c r="D15" i="10" s="1"/>
  <c r="G14" i="10"/>
  <c r="D14" i="10" s="1"/>
  <c r="G13" i="10"/>
  <c r="D13" i="10" s="1"/>
  <c r="G12" i="10"/>
  <c r="D12" i="10" s="1"/>
  <c r="G11" i="10"/>
  <c r="D11" i="10" s="1"/>
  <c r="G16" i="9" l="1"/>
  <c r="D16" i="9" s="1"/>
  <c r="G18" i="9"/>
  <c r="D18" i="9" s="1"/>
  <c r="G15" i="9"/>
  <c r="D15" i="9" s="1"/>
  <c r="G13" i="9"/>
  <c r="D13" i="9" s="1"/>
  <c r="G14" i="9"/>
  <c r="D14" i="9" s="1"/>
  <c r="G11" i="9"/>
  <c r="D11" i="9" s="1"/>
  <c r="G17" i="9"/>
  <c r="D17" i="9" s="1"/>
  <c r="G12" i="9"/>
  <c r="D12" i="9" s="1"/>
  <c r="G11" i="4" l="1"/>
  <c r="D11" i="4" s="1"/>
  <c r="G14" i="106" l="1"/>
  <c r="D14" i="106" s="1"/>
  <c r="G13" i="106"/>
  <c r="D13" i="106" s="1"/>
  <c r="G12" i="106"/>
  <c r="D12" i="106" s="1"/>
  <c r="G11" i="106"/>
  <c r="D11" i="106" s="1"/>
  <c r="C13" i="115" l="1"/>
  <c r="C10" i="115"/>
  <c r="C12" i="115"/>
  <c r="C9" i="115"/>
  <c r="C14" i="115"/>
  <c r="C11" i="115"/>
  <c r="C8" i="115"/>
  <c r="G8" i="118"/>
  <c r="D8" i="118" s="1"/>
  <c r="C8" i="118"/>
  <c r="C11" i="118"/>
  <c r="C9" i="118"/>
  <c r="C10" i="118"/>
  <c r="G17" i="104" l="1"/>
  <c r="D17" i="104" s="1"/>
  <c r="G16" i="104"/>
  <c r="D16" i="104" s="1"/>
  <c r="G19" i="103"/>
  <c r="D19" i="103" s="1"/>
  <c r="G18" i="103"/>
  <c r="D18" i="103" s="1"/>
  <c r="G17" i="103"/>
  <c r="D17" i="103" s="1"/>
  <c r="G16" i="103"/>
  <c r="D16" i="103" s="1"/>
  <c r="G15" i="103"/>
  <c r="D15" i="103" s="1"/>
  <c r="G15" i="105" l="1"/>
  <c r="D15" i="105" s="1"/>
  <c r="G12" i="105"/>
  <c r="D12" i="105" s="1"/>
  <c r="G14" i="105"/>
  <c r="D14" i="105" s="1"/>
  <c r="G10" i="105"/>
  <c r="D10" i="105" s="1"/>
  <c r="G13" i="105"/>
  <c r="D13" i="105" s="1"/>
  <c r="G11" i="105"/>
  <c r="D11" i="105" s="1"/>
  <c r="G9" i="105"/>
  <c r="D9" i="105" s="1"/>
  <c r="G8" i="105"/>
  <c r="D8" i="105" s="1"/>
  <c r="G16" i="105"/>
  <c r="D16" i="105" s="1"/>
  <c r="G17" i="105"/>
  <c r="D17" i="105" s="1"/>
  <c r="G22" i="105"/>
  <c r="D22" i="105" s="1"/>
  <c r="G21" i="105"/>
  <c r="D21" i="105" s="1"/>
  <c r="G20" i="105"/>
  <c r="D20" i="105" s="1"/>
  <c r="G16" i="93"/>
  <c r="D16" i="93" s="1"/>
  <c r="G17" i="93"/>
  <c r="D17" i="93" s="1"/>
  <c r="G14" i="93"/>
  <c r="D14" i="93" s="1"/>
  <c r="G13" i="93"/>
  <c r="D13" i="93" s="1"/>
  <c r="G15" i="93"/>
  <c r="D15" i="93" s="1"/>
  <c r="E10" i="105" l="1"/>
  <c r="E20" i="105"/>
  <c r="E17" i="105"/>
  <c r="E21" i="105"/>
  <c r="E9" i="105"/>
  <c r="E13" i="105"/>
  <c r="E12" i="105"/>
  <c r="E8" i="105"/>
  <c r="E22" i="105"/>
  <c r="E16" i="105"/>
  <c r="E11" i="105"/>
  <c r="E14" i="105"/>
  <c r="E15" i="105"/>
  <c r="G10" i="101"/>
  <c r="G11" i="101"/>
  <c r="G9" i="101"/>
  <c r="G21" i="101"/>
  <c r="D21" i="101" s="1"/>
  <c r="G20" i="101"/>
  <c r="D20" i="101" s="1"/>
  <c r="G8" i="101"/>
  <c r="G19" i="101"/>
  <c r="D19" i="101" s="1"/>
  <c r="G12" i="101"/>
  <c r="G13" i="101"/>
  <c r="D13" i="101" s="1"/>
  <c r="G15" i="101"/>
  <c r="G17" i="101"/>
  <c r="G16" i="102"/>
  <c r="D16" i="102" s="1"/>
  <c r="G17" i="102"/>
  <c r="D17" i="102" s="1"/>
  <c r="G13" i="102"/>
  <c r="D13" i="102" s="1"/>
  <c r="G12" i="102"/>
  <c r="D12" i="102" s="1"/>
  <c r="G11" i="102"/>
  <c r="D11" i="102" s="1"/>
  <c r="G14" i="102"/>
  <c r="D14" i="102" s="1"/>
  <c r="D9" i="101" l="1"/>
  <c r="D17" i="101"/>
  <c r="D11" i="101"/>
  <c r="D15" i="101"/>
  <c r="G8" i="97" l="1"/>
  <c r="D8" i="97" s="1"/>
  <c r="G19" i="92" l="1"/>
  <c r="D19" i="92" s="1"/>
  <c r="G14" i="92"/>
  <c r="D14" i="92" s="1"/>
  <c r="G21" i="92"/>
  <c r="D21" i="92" s="1"/>
  <c r="G20" i="92"/>
  <c r="D20" i="92" s="1"/>
  <c r="G16" i="92"/>
  <c r="D16" i="92" s="1"/>
  <c r="G15" i="92"/>
  <c r="D15" i="92" s="1"/>
  <c r="G18" i="92"/>
  <c r="D18" i="92" s="1"/>
  <c r="G12" i="92"/>
  <c r="D12" i="92" s="1"/>
  <c r="G17" i="92"/>
  <c r="D17" i="92" s="1"/>
  <c r="G8" i="92"/>
  <c r="D8" i="92" s="1"/>
  <c r="G9" i="92"/>
  <c r="D9" i="92" s="1"/>
  <c r="G13" i="92"/>
  <c r="D13" i="92" s="1"/>
  <c r="DN7" i="2"/>
  <c r="DI7" i="2"/>
  <c r="DG7" i="2"/>
  <c r="DF7" i="2"/>
  <c r="DB7" i="2"/>
  <c r="G17" i="62"/>
  <c r="D17" i="62" s="1"/>
  <c r="G14" i="62"/>
  <c r="D14" i="62" s="1"/>
  <c r="G12" i="62"/>
  <c r="D12" i="62" s="1"/>
  <c r="G16" i="62"/>
  <c r="D16" i="62" s="1"/>
  <c r="G15" i="62"/>
  <c r="D15" i="62" s="1"/>
  <c r="G11" i="62"/>
  <c r="D11" i="62" s="1"/>
  <c r="G13" i="62"/>
  <c r="D13" i="62" s="1"/>
  <c r="G10" i="62"/>
  <c r="D10" i="62" s="1"/>
  <c r="G11" i="65" l="1"/>
  <c r="D11" i="65" s="1"/>
  <c r="G11" i="49" l="1"/>
  <c r="D11" i="49" s="1"/>
  <c r="G8" i="49"/>
  <c r="D8" i="49" s="1"/>
  <c r="G9" i="42" l="1"/>
  <c r="D9" i="42" s="1"/>
  <c r="G9" i="39" l="1"/>
  <c r="D9" i="39" s="1"/>
  <c r="G17" i="40"/>
  <c r="D17" i="40" s="1"/>
  <c r="G8" i="37" l="1"/>
  <c r="D8" i="37" s="1"/>
  <c r="G9" i="59" l="1"/>
  <c r="D9" i="59" s="1"/>
  <c r="G11" i="58"/>
  <c r="D11" i="58" s="1"/>
  <c r="G10" i="58"/>
  <c r="D10" i="58" s="1"/>
  <c r="G9" i="58"/>
  <c r="D9" i="58" s="1"/>
  <c r="G10" i="46" l="1"/>
  <c r="D10" i="46" s="1"/>
  <c r="G9" i="46"/>
  <c r="D9" i="46" s="1"/>
  <c r="G8" i="35" l="1"/>
  <c r="D8" i="35" s="1"/>
  <c r="G9" i="100" l="1"/>
  <c r="D9" i="100" s="1"/>
  <c r="G10" i="99" l="1"/>
  <c r="D10" i="99" s="1"/>
  <c r="G11" i="99"/>
  <c r="D11" i="99" s="1"/>
  <c r="G9" i="99"/>
  <c r="D9" i="99" s="1"/>
  <c r="DN8" i="2" l="1"/>
  <c r="DI8" i="2"/>
  <c r="DB8" i="2"/>
  <c r="G8" i="25" l="1"/>
  <c r="D8" i="25" s="1"/>
  <c r="G9" i="86" l="1"/>
  <c r="D9" i="86" s="1"/>
  <c r="G8" i="86"/>
  <c r="D8" i="86" s="1"/>
  <c r="G10" i="86"/>
  <c r="D10" i="86" s="1"/>
  <c r="G11" i="23" l="1"/>
  <c r="D11" i="23" s="1"/>
  <c r="G13" i="23"/>
  <c r="D13" i="23" s="1"/>
  <c r="G15" i="23"/>
  <c r="D15" i="23" s="1"/>
  <c r="G10" i="23"/>
  <c r="D10" i="23" s="1"/>
  <c r="G12" i="23"/>
  <c r="D12" i="23" s="1"/>
  <c r="G9" i="23"/>
  <c r="D9" i="23" s="1"/>
  <c r="G8" i="23"/>
  <c r="D8" i="23" s="1"/>
  <c r="G14" i="23"/>
  <c r="D14" i="23" s="1"/>
  <c r="F5" i="23" l="1"/>
  <c r="E30" i="23"/>
  <c r="U39" i="2" s="1"/>
  <c r="E28" i="23"/>
  <c r="U152" i="2" s="1"/>
  <c r="E23" i="23"/>
  <c r="E8" i="23"/>
  <c r="U80" i="2" s="1"/>
  <c r="E25" i="23"/>
  <c r="U26" i="2" s="1"/>
  <c r="E26" i="23"/>
  <c r="U138" i="2" s="1"/>
  <c r="E24" i="23"/>
  <c r="U25" i="2" s="1"/>
  <c r="E21" i="23"/>
  <c r="U68" i="2" s="1"/>
  <c r="E18" i="23"/>
  <c r="U34" i="2" s="1"/>
  <c r="E16" i="23"/>
  <c r="U13" i="2" s="1"/>
  <c r="E31" i="23"/>
  <c r="U59" i="2" s="1"/>
  <c r="E29" i="23"/>
  <c r="U137" i="2" s="1"/>
  <c r="E27" i="23"/>
  <c r="U48" i="2" s="1"/>
  <c r="E19" i="23"/>
  <c r="U56" i="2" s="1"/>
  <c r="E22" i="23"/>
  <c r="U83" i="2" s="1"/>
  <c r="E20" i="23"/>
  <c r="U86" i="2" s="1"/>
  <c r="E17" i="23"/>
  <c r="U29" i="2" s="1"/>
  <c r="E15" i="23"/>
  <c r="U150" i="2" s="1"/>
  <c r="E9" i="23"/>
  <c r="U88" i="2" s="1"/>
  <c r="E13" i="23"/>
  <c r="U8" i="2" s="1"/>
  <c r="E12" i="23"/>
  <c r="U145" i="2" s="1"/>
  <c r="E10" i="23"/>
  <c r="U57" i="2" s="1"/>
  <c r="E14" i="23"/>
  <c r="U123" i="2" s="1"/>
  <c r="E11" i="23"/>
  <c r="U89" i="2" s="1"/>
  <c r="G8" i="14"/>
  <c r="D8" i="14" s="1"/>
  <c r="E30" i="14" l="1"/>
  <c r="T137" i="2" s="1"/>
  <c r="E10" i="14"/>
  <c r="T57" i="2" s="1"/>
  <c r="E28" i="14"/>
  <c r="T48" i="2" s="1"/>
  <c r="E32" i="14"/>
  <c r="T59" i="2" s="1"/>
  <c r="E19" i="14"/>
  <c r="T56" i="2" s="1"/>
  <c r="E8" i="14"/>
  <c r="T80" i="2" s="1"/>
  <c r="E24" i="14"/>
  <c r="E12" i="14"/>
  <c r="T145" i="2" s="1"/>
  <c r="E20" i="14"/>
  <c r="T86" i="2" s="1"/>
  <c r="E17" i="14"/>
  <c r="T29" i="2" s="1"/>
  <c r="E14" i="14"/>
  <c r="T123" i="2" s="1"/>
  <c r="E25" i="14"/>
  <c r="T25" i="2" s="1"/>
  <c r="F5" i="14"/>
  <c r="E23" i="14"/>
  <c r="T23" i="2" s="1"/>
  <c r="E31" i="14"/>
  <c r="T39" i="2" s="1"/>
  <c r="E9" i="14"/>
  <c r="T88" i="2" s="1"/>
  <c r="E18" i="14"/>
  <c r="T34" i="2" s="1"/>
  <c r="E13" i="14"/>
  <c r="T8" i="2" s="1"/>
  <c r="E11" i="14"/>
  <c r="T89" i="2" s="1"/>
  <c r="E29" i="14"/>
  <c r="T152" i="2" s="1"/>
  <c r="E16" i="14"/>
  <c r="T13" i="2" s="1"/>
  <c r="E27" i="14"/>
  <c r="T138" i="2" s="1"/>
  <c r="E22" i="14"/>
  <c r="T83" i="2" s="1"/>
  <c r="E21" i="14"/>
  <c r="T68" i="2" s="1"/>
  <c r="E15" i="14"/>
  <c r="T150" i="2" s="1"/>
  <c r="E26" i="14"/>
  <c r="T26" i="2" s="1"/>
  <c r="G12" i="12"/>
  <c r="DF152" i="2" l="1"/>
  <c r="DL152" i="2"/>
  <c r="DE152" i="2" s="1"/>
  <c r="DH152" i="2"/>
  <c r="G152" i="2"/>
  <c r="DC152" i="2" s="1"/>
  <c r="DA152" i="2" s="1"/>
  <c r="DJ152" i="2" s="1"/>
  <c r="DG152" i="2"/>
  <c r="DG145" i="2"/>
  <c r="DF145" i="2"/>
  <c r="DG83" i="2"/>
  <c r="G83" i="2"/>
  <c r="DC83" i="2" s="1"/>
  <c r="DA83" i="2" s="1"/>
  <c r="DK83" i="2" s="1"/>
  <c r="DH83" i="2"/>
  <c r="DL83" i="2"/>
  <c r="DE83" i="2" s="1"/>
  <c r="DF83" i="2"/>
  <c r="DG89" i="2"/>
  <c r="DF89" i="2"/>
  <c r="DL89" i="2"/>
  <c r="DE89" i="2" s="1"/>
  <c r="G89" i="2"/>
  <c r="DC89" i="2" s="1"/>
  <c r="DA89" i="2" s="1"/>
  <c r="DK89" i="2" s="1"/>
  <c r="DH89" i="2"/>
  <c r="DL39" i="2"/>
  <c r="DE39" i="2" s="1"/>
  <c r="DH39" i="2"/>
  <c r="DG39" i="2"/>
  <c r="G39" i="2"/>
  <c r="DC39" i="2" s="1"/>
  <c r="DA39" i="2" s="1"/>
  <c r="DK39" i="2" s="1"/>
  <c r="DF39" i="2"/>
  <c r="DL48" i="2"/>
  <c r="DE48" i="2" s="1"/>
  <c r="DH48" i="2"/>
  <c r="DG48" i="2"/>
  <c r="G48" i="2"/>
  <c r="DC48" i="2" s="1"/>
  <c r="DA48" i="2" s="1"/>
  <c r="DJ48" i="2" s="1"/>
  <c r="DF48" i="2"/>
  <c r="DF88" i="2"/>
  <c r="DG88" i="2"/>
  <c r="DG59" i="2"/>
  <c r="G59" i="2"/>
  <c r="DC59" i="2" s="1"/>
  <c r="DA59" i="2" s="1"/>
  <c r="DF59" i="2"/>
  <c r="DL59" i="2"/>
  <c r="DE59" i="2" s="1"/>
  <c r="DH59" i="2"/>
  <c r="DF23" i="2"/>
  <c r="DF29" i="2"/>
  <c r="DF80" i="2"/>
  <c r="G80" i="2"/>
  <c r="DC80" i="2" s="1"/>
  <c r="DA80" i="2" s="1"/>
  <c r="DH80" i="2"/>
  <c r="DL80" i="2"/>
  <c r="DE80" i="2" s="1"/>
  <c r="DG80" i="2"/>
  <c r="DG57" i="2"/>
  <c r="DF57" i="2"/>
  <c r="DG68" i="2"/>
  <c r="G68" i="2"/>
  <c r="DC68" i="2" s="1"/>
  <c r="DA68" i="2" s="1"/>
  <c r="DK68" i="2" s="1"/>
  <c r="DH68" i="2"/>
  <c r="DL68" i="2"/>
  <c r="DE68" i="2" s="1"/>
  <c r="DF68" i="2"/>
  <c r="DF150" i="2"/>
  <c r="DG150" i="2"/>
  <c r="DF13" i="2"/>
  <c r="DG13" i="2"/>
  <c r="DL34" i="2"/>
  <c r="DE34" i="2" s="1"/>
  <c r="DH34" i="2"/>
  <c r="DG34" i="2"/>
  <c r="G34" i="2"/>
  <c r="DC34" i="2" s="1"/>
  <c r="DA34" i="2" s="1"/>
  <c r="DK34" i="2" s="1"/>
  <c r="DF34" i="2"/>
  <c r="DL86" i="2"/>
  <c r="DE86" i="2" s="1"/>
  <c r="DH86" i="2"/>
  <c r="DF86" i="2"/>
  <c r="G86" i="2"/>
  <c r="DC86" i="2" s="1"/>
  <c r="DA86" i="2" s="1"/>
  <c r="DK86" i="2" s="1"/>
  <c r="DG86" i="2"/>
  <c r="DL56" i="2"/>
  <c r="DE56" i="2" s="1"/>
  <c r="DH56" i="2"/>
  <c r="DG56" i="2"/>
  <c r="G56" i="2"/>
  <c r="DC56" i="2" s="1"/>
  <c r="DA56" i="2" s="1"/>
  <c r="DF56" i="2"/>
  <c r="G10" i="10"/>
  <c r="D10" i="10" s="1"/>
  <c r="DK48" i="2" l="1"/>
  <c r="DK152" i="2"/>
  <c r="DJ80" i="2"/>
  <c r="DK80" i="2"/>
  <c r="DJ56" i="2"/>
  <c r="DK56" i="2"/>
  <c r="DJ59" i="2"/>
  <c r="DK59" i="2"/>
  <c r="DJ83" i="2"/>
  <c r="DJ34" i="2"/>
  <c r="DJ86" i="2"/>
  <c r="DJ89" i="2"/>
  <c r="DJ68" i="2"/>
  <c r="DJ39" i="2"/>
  <c r="G10" i="7"/>
  <c r="D10" i="7" s="1"/>
  <c r="G10" i="6" l="1"/>
  <c r="G10" i="89" l="1"/>
  <c r="D10" i="89" s="1"/>
  <c r="G11" i="91" l="1"/>
  <c r="D11" i="91" s="1"/>
  <c r="G10" i="54" l="1"/>
  <c r="D10" i="54" s="1"/>
  <c r="G22" i="70" l="1"/>
  <c r="D22" i="70" s="1"/>
  <c r="G21" i="70"/>
  <c r="D21" i="70" s="1"/>
  <c r="G8" i="60" l="1"/>
  <c r="D8" i="60" s="1"/>
  <c r="G9" i="60"/>
  <c r="D9" i="60" s="1"/>
  <c r="G10" i="60"/>
  <c r="D10" i="60" s="1"/>
  <c r="G14" i="49"/>
  <c r="D14" i="49" s="1"/>
  <c r="G12" i="49"/>
  <c r="D12" i="49" s="1"/>
  <c r="G10" i="49"/>
  <c r="D10" i="49" s="1"/>
  <c r="G8" i="48"/>
  <c r="D8" i="48" s="1"/>
  <c r="G9" i="48"/>
  <c r="D9" i="48" s="1"/>
  <c r="G8" i="43"/>
  <c r="D8" i="43" s="1"/>
  <c r="G9" i="43"/>
  <c r="D9" i="43" s="1"/>
  <c r="G10" i="43"/>
  <c r="D10" i="43" s="1"/>
  <c r="G8" i="44"/>
  <c r="D8" i="44" s="1"/>
  <c r="G9" i="44"/>
  <c r="D9" i="44" s="1"/>
  <c r="G10" i="42"/>
  <c r="D10" i="42" s="1"/>
  <c r="G8" i="42"/>
  <c r="D8" i="42" s="1"/>
  <c r="G10" i="44"/>
  <c r="D10" i="44" s="1"/>
  <c r="G8" i="5"/>
  <c r="D8" i="5" s="1"/>
  <c r="G9" i="5"/>
  <c r="G8" i="84"/>
  <c r="D8" i="84" s="1"/>
  <c r="G9" i="84"/>
  <c r="D9" i="84" s="1"/>
  <c r="G8" i="16"/>
  <c r="D8" i="16" s="1"/>
  <c r="G9" i="16"/>
  <c r="D9" i="16" s="1"/>
  <c r="G10" i="16"/>
  <c r="D10" i="16" s="1"/>
  <c r="G10" i="47"/>
  <c r="D10" i="47" s="1"/>
  <c r="G9" i="47"/>
  <c r="D9" i="47" s="1"/>
  <c r="F5" i="47" s="1"/>
  <c r="G20" i="52"/>
  <c r="G16" i="52"/>
  <c r="D16" i="52" s="1"/>
  <c r="G8" i="26"/>
  <c r="D8" i="26" s="1"/>
  <c r="G9" i="26"/>
  <c r="D9" i="26" s="1"/>
  <c r="G8" i="45"/>
  <c r="D8" i="45" s="1"/>
  <c r="G9" i="45"/>
  <c r="D9" i="45" s="1"/>
  <c r="G10" i="100"/>
  <c r="D10" i="100" s="1"/>
  <c r="G12" i="100"/>
  <c r="D12" i="100" s="1"/>
  <c r="G8" i="56"/>
  <c r="D8" i="56" s="1"/>
  <c r="G9" i="56"/>
  <c r="D9" i="56" s="1"/>
  <c r="G8" i="46"/>
  <c r="D8" i="46" s="1"/>
  <c r="G9" i="9"/>
  <c r="D9" i="9" s="1"/>
  <c r="G8" i="9"/>
  <c r="D8" i="9" s="1"/>
  <c r="G8" i="10"/>
  <c r="D8" i="10" s="1"/>
  <c r="G9" i="10"/>
  <c r="D9" i="10" s="1"/>
  <c r="G8" i="11"/>
  <c r="D8" i="11" s="1"/>
  <c r="G9" i="11"/>
  <c r="D9" i="11" s="1"/>
  <c r="G8" i="13"/>
  <c r="D8" i="13" s="1"/>
  <c r="G9" i="13"/>
  <c r="D9" i="13" s="1"/>
  <c r="G10" i="13"/>
  <c r="D10" i="13" s="1"/>
  <c r="G12" i="14"/>
  <c r="D12" i="14" s="1"/>
  <c r="G8" i="85"/>
  <c r="G9" i="85"/>
  <c r="G10" i="85"/>
  <c r="G8" i="28"/>
  <c r="D8" i="28" s="1"/>
  <c r="G9" i="28"/>
  <c r="D9" i="28" s="1"/>
  <c r="G11" i="27"/>
  <c r="G9" i="27"/>
  <c r="G8" i="87"/>
  <c r="D8" i="87" s="1"/>
  <c r="G9" i="87"/>
  <c r="D9" i="87" s="1"/>
  <c r="G10" i="87"/>
  <c r="D10" i="87" s="1"/>
  <c r="G8" i="99"/>
  <c r="D8" i="99" s="1"/>
  <c r="F5" i="99" s="1"/>
  <c r="G8" i="58"/>
  <c r="D8" i="58" s="1"/>
  <c r="F5" i="58" s="1"/>
  <c r="G11" i="39"/>
  <c r="D11" i="39" s="1"/>
  <c r="DN5" i="2"/>
  <c r="DI5" i="2"/>
  <c r="DG5" i="2"/>
  <c r="DF5" i="2"/>
  <c r="DB5" i="2"/>
  <c r="G9" i="29"/>
  <c r="D9" i="29" s="1"/>
  <c r="G11" i="85"/>
  <c r="DF9" i="2"/>
  <c r="G11" i="86"/>
  <c r="D11" i="86" s="1"/>
  <c r="G11" i="12"/>
  <c r="G10" i="12"/>
  <c r="D10" i="12" s="1"/>
  <c r="AE95" i="82"/>
  <c r="G19" i="88"/>
  <c r="D19" i="88" s="1"/>
  <c r="G9" i="51"/>
  <c r="D9" i="51" s="1"/>
  <c r="G11" i="60"/>
  <c r="D11" i="60" s="1"/>
  <c r="G11" i="45"/>
  <c r="D11" i="45" s="1"/>
  <c r="G10" i="5"/>
  <c r="G8" i="4"/>
  <c r="D8" i="4" s="1"/>
  <c r="G9" i="4"/>
  <c r="D9" i="4" s="1"/>
  <c r="G10" i="4"/>
  <c r="D10" i="4" s="1"/>
  <c r="G8" i="32"/>
  <c r="D8" i="32" s="1"/>
  <c r="G10" i="32"/>
  <c r="D10" i="32" s="1"/>
  <c r="G8" i="15"/>
  <c r="D8" i="15" s="1"/>
  <c r="G9" i="15"/>
  <c r="D9" i="15" s="1"/>
  <c r="G8" i="113"/>
  <c r="D8" i="113" s="1"/>
  <c r="G9" i="113"/>
  <c r="D9" i="113" s="1"/>
  <c r="G10" i="113"/>
  <c r="D10" i="113" s="1"/>
  <c r="G8" i="110"/>
  <c r="D8" i="110" s="1"/>
  <c r="G9" i="110"/>
  <c r="D9" i="110" s="1"/>
  <c r="G10" i="110"/>
  <c r="D10" i="110" s="1"/>
  <c r="G8" i="111"/>
  <c r="D8" i="111" s="1"/>
  <c r="G9" i="111"/>
  <c r="D9" i="111" s="1"/>
  <c r="G10" i="111"/>
  <c r="D10" i="111" s="1"/>
  <c r="G8" i="116"/>
  <c r="D8" i="116" s="1"/>
  <c r="G9" i="116"/>
  <c r="D9" i="116" s="1"/>
  <c r="G10" i="116"/>
  <c r="D10" i="116" s="1"/>
  <c r="G8" i="96"/>
  <c r="D8" i="96" s="1"/>
  <c r="G10" i="96"/>
  <c r="D10" i="96" s="1"/>
  <c r="G9" i="96"/>
  <c r="D9" i="96" s="1"/>
  <c r="G10" i="90"/>
  <c r="D10" i="90" s="1"/>
  <c r="G11" i="90"/>
  <c r="D11" i="90" s="1"/>
  <c r="G9" i="90"/>
  <c r="D9" i="90" s="1"/>
  <c r="AF106" i="82"/>
  <c r="AE106" i="82"/>
  <c r="AF105" i="82"/>
  <c r="AE105" i="82"/>
  <c r="AF104" i="82"/>
  <c r="AE104" i="82"/>
  <c r="AF103" i="82"/>
  <c r="AE103" i="82"/>
  <c r="AF102" i="82"/>
  <c r="AE102" i="82"/>
  <c r="AF101" i="82"/>
  <c r="AE101" i="82"/>
  <c r="AF100" i="82"/>
  <c r="AE100" i="82"/>
  <c r="AF99" i="82"/>
  <c r="AE99" i="82"/>
  <c r="AF98" i="82"/>
  <c r="AE98" i="82"/>
  <c r="AF97" i="82"/>
  <c r="AE97" i="82"/>
  <c r="AF96" i="82"/>
  <c r="AE96" i="82"/>
  <c r="AF95" i="82"/>
  <c r="G11" i="113"/>
  <c r="D11" i="113" s="1"/>
  <c r="CQ3" i="2"/>
  <c r="CQ2" i="2"/>
  <c r="CP3" i="2"/>
  <c r="CP2" i="2"/>
  <c r="CO3" i="2"/>
  <c r="CO2" i="2"/>
  <c r="G12" i="111"/>
  <c r="D12" i="111" s="1"/>
  <c r="CN3" i="2"/>
  <c r="CN2" i="2"/>
  <c r="E14" i="107"/>
  <c r="E13" i="107"/>
  <c r="CM3" i="2"/>
  <c r="CM2" i="2"/>
  <c r="CL3" i="2"/>
  <c r="CL2" i="2"/>
  <c r="E13" i="108"/>
  <c r="E12" i="108"/>
  <c r="CK3" i="2"/>
  <c r="CK2" i="2"/>
  <c r="CJ3" i="2"/>
  <c r="CJ2" i="2"/>
  <c r="G10" i="106"/>
  <c r="D10" i="106" s="1"/>
  <c r="G13" i="115"/>
  <c r="D13" i="115" s="1"/>
  <c r="G10" i="115"/>
  <c r="D10" i="115" s="1"/>
  <c r="G12" i="115"/>
  <c r="D12" i="115" s="1"/>
  <c r="G9" i="115"/>
  <c r="D9" i="115" s="1"/>
  <c r="G14" i="115"/>
  <c r="D14" i="115" s="1"/>
  <c r="CI3" i="2"/>
  <c r="CI2" i="2"/>
  <c r="CH3" i="2"/>
  <c r="CH2" i="2"/>
  <c r="CG3" i="2"/>
  <c r="CG2" i="2"/>
  <c r="CF3" i="2"/>
  <c r="CF2" i="2"/>
  <c r="G14" i="103"/>
  <c r="D14" i="103" s="1"/>
  <c r="G13" i="103"/>
  <c r="D13" i="103" s="1"/>
  <c r="CE3" i="2"/>
  <c r="CE2" i="2"/>
  <c r="CD3" i="2"/>
  <c r="CD2" i="2"/>
  <c r="CC3" i="2"/>
  <c r="CC2" i="2"/>
  <c r="CB3" i="2"/>
  <c r="CB2" i="2"/>
  <c r="CA3" i="2"/>
  <c r="CA2" i="2"/>
  <c r="G15" i="102"/>
  <c r="D15" i="102" s="1"/>
  <c r="G9" i="102"/>
  <c r="D9" i="102" s="1"/>
  <c r="BZ3" i="2"/>
  <c r="BZ2" i="2"/>
  <c r="BY3" i="2"/>
  <c r="BY2" i="2"/>
  <c r="BX3" i="2"/>
  <c r="BX2" i="2"/>
  <c r="BW3" i="2"/>
  <c r="BW2" i="2"/>
  <c r="BV3" i="2"/>
  <c r="BV2" i="2"/>
  <c r="BU3" i="2"/>
  <c r="BU2" i="2"/>
  <c r="BT3" i="2"/>
  <c r="BT2" i="2"/>
  <c r="BS3" i="2"/>
  <c r="BS2" i="2"/>
  <c r="BR3" i="2"/>
  <c r="BR2" i="2"/>
  <c r="BQ3" i="2"/>
  <c r="BQ2" i="2"/>
  <c r="BP3" i="2"/>
  <c r="BP2" i="2"/>
  <c r="BO3" i="2"/>
  <c r="BO2" i="2"/>
  <c r="BN3" i="2"/>
  <c r="BN2" i="2"/>
  <c r="BM3" i="2"/>
  <c r="BM2" i="2"/>
  <c r="BL3" i="2"/>
  <c r="BL2" i="2"/>
  <c r="G15" i="53"/>
  <c r="D15" i="53" s="1"/>
  <c r="G16" i="53"/>
  <c r="D16" i="53" s="1"/>
  <c r="BK3" i="2"/>
  <c r="BK2" i="2"/>
  <c r="BJ3" i="2"/>
  <c r="BJ2" i="2"/>
  <c r="BI3" i="2"/>
  <c r="BI2" i="2"/>
  <c r="BH3" i="2"/>
  <c r="BH2" i="2"/>
  <c r="BG3" i="2"/>
  <c r="BG2" i="2"/>
  <c r="BF2" i="2"/>
  <c r="BF3" i="2"/>
  <c r="BE3" i="2"/>
  <c r="BE2" i="2"/>
  <c r="BD3" i="2"/>
  <c r="BD2" i="2"/>
  <c r="BC3" i="2"/>
  <c r="BC2" i="2"/>
  <c r="BB3" i="2"/>
  <c r="BB2" i="2"/>
  <c r="BA3" i="2"/>
  <c r="BA2" i="2"/>
  <c r="AZ3" i="2"/>
  <c r="AZ2" i="2"/>
  <c r="AY3" i="2"/>
  <c r="AY2" i="2"/>
  <c r="AX3" i="2"/>
  <c r="AX2" i="2"/>
  <c r="AW3" i="2"/>
  <c r="AW2" i="2"/>
  <c r="AV3" i="2"/>
  <c r="AV2" i="2"/>
  <c r="AU3" i="2"/>
  <c r="AU2" i="2"/>
  <c r="AT3" i="2"/>
  <c r="AT2" i="2"/>
  <c r="AS3" i="2"/>
  <c r="AS2" i="2"/>
  <c r="AR3" i="2"/>
  <c r="AR2" i="2"/>
  <c r="AQ3" i="2"/>
  <c r="AQ2" i="2"/>
  <c r="AP3" i="2"/>
  <c r="AP2" i="2"/>
  <c r="AO3" i="2"/>
  <c r="AO2" i="2"/>
  <c r="AN3" i="2"/>
  <c r="AN2" i="2"/>
  <c r="AM3" i="2"/>
  <c r="AM2" i="2"/>
  <c r="AL3" i="2"/>
  <c r="AL2" i="2"/>
  <c r="AK3" i="2"/>
  <c r="AK2" i="2"/>
  <c r="AJ3" i="2"/>
  <c r="AJ2" i="2"/>
  <c r="AI3" i="2"/>
  <c r="AI2" i="2"/>
  <c r="AH3" i="2"/>
  <c r="AH2" i="2"/>
  <c r="AG3" i="2"/>
  <c r="AG2" i="2"/>
  <c r="AF3" i="2"/>
  <c r="AF2" i="2"/>
  <c r="AE3" i="2"/>
  <c r="AE2" i="2"/>
  <c r="AD3" i="2"/>
  <c r="AD2" i="2"/>
  <c r="AC3" i="2"/>
  <c r="AC2" i="2"/>
  <c r="AB3" i="2"/>
  <c r="AB2" i="2"/>
  <c r="AA3" i="2"/>
  <c r="AA2" i="2"/>
  <c r="Z3" i="2"/>
  <c r="Z2" i="2"/>
  <c r="Y3" i="2"/>
  <c r="Y2" i="2"/>
  <c r="X3" i="2"/>
  <c r="X2" i="2"/>
  <c r="W3" i="2"/>
  <c r="W2" i="2"/>
  <c r="V3" i="2"/>
  <c r="V2" i="2"/>
  <c r="U3" i="2"/>
  <c r="U2" i="2"/>
  <c r="T3" i="2"/>
  <c r="T2" i="2"/>
  <c r="G10" i="98"/>
  <c r="D10" i="98" s="1"/>
  <c r="S3" i="2"/>
  <c r="S2" i="2"/>
  <c r="R3" i="2"/>
  <c r="R2" i="2"/>
  <c r="Q3" i="2"/>
  <c r="Q2" i="2"/>
  <c r="P3" i="2"/>
  <c r="P2" i="2"/>
  <c r="O3" i="2"/>
  <c r="O2" i="2"/>
  <c r="G10" i="9"/>
  <c r="D10" i="9" s="1"/>
  <c r="N3" i="2"/>
  <c r="N2" i="2"/>
  <c r="G10" i="8"/>
  <c r="M3" i="2"/>
  <c r="M2" i="2"/>
  <c r="L3" i="2"/>
  <c r="L2" i="2"/>
  <c r="K3" i="2"/>
  <c r="K2" i="2"/>
  <c r="DN9" i="2"/>
  <c r="G10" i="117"/>
  <c r="D10" i="117" s="1"/>
  <c r="G12" i="103"/>
  <c r="D12" i="103" s="1"/>
  <c r="G11" i="103"/>
  <c r="D11" i="103" s="1"/>
  <c r="G10" i="103"/>
  <c r="D10" i="103" s="1"/>
  <c r="G15" i="104"/>
  <c r="D15" i="104" s="1"/>
  <c r="G14" i="104"/>
  <c r="D14" i="104" s="1"/>
  <c r="G13" i="104"/>
  <c r="D13" i="104" s="1"/>
  <c r="G12" i="104"/>
  <c r="D12" i="104" s="1"/>
  <c r="G12" i="93"/>
  <c r="D12" i="93" s="1"/>
  <c r="G14" i="101"/>
  <c r="G16" i="40"/>
  <c r="D16" i="40" s="1"/>
  <c r="G14" i="40"/>
  <c r="G8" i="7"/>
  <c r="D8" i="7" s="1"/>
  <c r="G9" i="7"/>
  <c r="D9" i="7" s="1"/>
  <c r="G8" i="6"/>
  <c r="D8" i="6" s="1"/>
  <c r="G9" i="6"/>
  <c r="J2" i="2"/>
  <c r="I2" i="2"/>
  <c r="I3" i="2"/>
  <c r="G13" i="125"/>
  <c r="D13" i="125" s="1"/>
  <c r="G12" i="125"/>
  <c r="D12" i="125" s="1"/>
  <c r="G12" i="126"/>
  <c r="D12" i="126" s="1"/>
  <c r="G11" i="125"/>
  <c r="D11" i="125" s="1"/>
  <c r="G10" i="125"/>
  <c r="D10" i="125" s="1"/>
  <c r="G9" i="125"/>
  <c r="D9" i="125" s="1"/>
  <c r="G8" i="125"/>
  <c r="D8" i="125" s="1"/>
  <c r="G11" i="126"/>
  <c r="D11" i="126" s="1"/>
  <c r="G10" i="126"/>
  <c r="D10" i="126" s="1"/>
  <c r="G9" i="126"/>
  <c r="D9" i="126" s="1"/>
  <c r="G8" i="126"/>
  <c r="D8" i="126" s="1"/>
  <c r="G18" i="123"/>
  <c r="D18" i="123" s="1"/>
  <c r="G17" i="123"/>
  <c r="D17" i="123" s="1"/>
  <c r="G16" i="123"/>
  <c r="D16" i="123" s="1"/>
  <c r="G15" i="123"/>
  <c r="D15" i="123" s="1"/>
  <c r="G14" i="123"/>
  <c r="D14" i="123" s="1"/>
  <c r="G13" i="123"/>
  <c r="D13" i="123" s="1"/>
  <c r="G12" i="123"/>
  <c r="D12" i="123" s="1"/>
  <c r="G11" i="123"/>
  <c r="D11" i="123" s="1"/>
  <c r="G10" i="123"/>
  <c r="D10" i="123" s="1"/>
  <c r="G9" i="123"/>
  <c r="D9" i="123" s="1"/>
  <c r="G8" i="123"/>
  <c r="D8" i="123" s="1"/>
  <c r="G18" i="124"/>
  <c r="D18" i="124" s="1"/>
  <c r="G17" i="124"/>
  <c r="D17" i="124" s="1"/>
  <c r="G16" i="124"/>
  <c r="D16" i="124" s="1"/>
  <c r="G15" i="124"/>
  <c r="D15" i="124" s="1"/>
  <c r="G14" i="124"/>
  <c r="D14" i="124" s="1"/>
  <c r="G13" i="124"/>
  <c r="D13" i="124" s="1"/>
  <c r="G12" i="124"/>
  <c r="D12" i="124" s="1"/>
  <c r="G11" i="124"/>
  <c r="D11" i="124" s="1"/>
  <c r="G10" i="124"/>
  <c r="D10" i="124" s="1"/>
  <c r="G9" i="124"/>
  <c r="D9" i="124" s="1"/>
  <c r="G8" i="124"/>
  <c r="D8" i="124" s="1"/>
  <c r="G20" i="121"/>
  <c r="D20" i="121" s="1"/>
  <c r="G15" i="122"/>
  <c r="D15" i="122" s="1"/>
  <c r="G16" i="122"/>
  <c r="D16" i="122" s="1"/>
  <c r="G17" i="122"/>
  <c r="D17" i="122" s="1"/>
  <c r="G19" i="121"/>
  <c r="D19" i="121" s="1"/>
  <c r="G18" i="121"/>
  <c r="D18" i="121" s="1"/>
  <c r="G17" i="121"/>
  <c r="D17" i="121" s="1"/>
  <c r="G16" i="121"/>
  <c r="D16" i="121" s="1"/>
  <c r="G15" i="121"/>
  <c r="D15" i="121" s="1"/>
  <c r="G14" i="121"/>
  <c r="D14" i="121" s="1"/>
  <c r="G13" i="121"/>
  <c r="D13" i="121" s="1"/>
  <c r="G12" i="121"/>
  <c r="D12" i="121" s="1"/>
  <c r="G11" i="121"/>
  <c r="D11" i="121" s="1"/>
  <c r="G10" i="121"/>
  <c r="D10" i="121" s="1"/>
  <c r="G9" i="121"/>
  <c r="D9" i="121" s="1"/>
  <c r="G8" i="121"/>
  <c r="D8" i="121" s="1"/>
  <c r="G14" i="122"/>
  <c r="D14" i="122" s="1"/>
  <c r="G13" i="122"/>
  <c r="D13" i="122" s="1"/>
  <c r="G12" i="122"/>
  <c r="D12" i="122" s="1"/>
  <c r="G11" i="122"/>
  <c r="D11" i="122" s="1"/>
  <c r="G10" i="122"/>
  <c r="D10" i="122" s="1"/>
  <c r="G9" i="122"/>
  <c r="D9" i="122" s="1"/>
  <c r="G8" i="122"/>
  <c r="D8" i="122" s="1"/>
  <c r="L9" i="120"/>
  <c r="L8" i="120"/>
  <c r="G9" i="120"/>
  <c r="D9" i="120" s="1"/>
  <c r="G8" i="120"/>
  <c r="D8" i="120" s="1"/>
  <c r="G10" i="114"/>
  <c r="D10" i="114" s="1"/>
  <c r="G11" i="118"/>
  <c r="D11" i="118" s="1"/>
  <c r="G9" i="103"/>
  <c r="D9" i="103" s="1"/>
  <c r="G8" i="103"/>
  <c r="D8" i="103" s="1"/>
  <c r="G11" i="104"/>
  <c r="D11" i="104" s="1"/>
  <c r="G9" i="62"/>
  <c r="D9" i="62" s="1"/>
  <c r="G10" i="53"/>
  <c r="D10" i="53" s="1"/>
  <c r="DI9" i="2"/>
  <c r="DB9" i="2"/>
  <c r="G8" i="98"/>
  <c r="D8" i="98" s="1"/>
  <c r="G9" i="98"/>
  <c r="D9" i="98" s="1"/>
  <c r="DR362" i="2"/>
  <c r="DZ79" i="2"/>
  <c r="DR361" i="2"/>
  <c r="DR360" i="2"/>
  <c r="DR359" i="2"/>
  <c r="DR358" i="2"/>
  <c r="DR357" i="2"/>
  <c r="DR329" i="2"/>
  <c r="G10" i="119"/>
  <c r="D10" i="119" s="1"/>
  <c r="G9" i="119"/>
  <c r="D9" i="119" s="1"/>
  <c r="G8" i="119"/>
  <c r="D8" i="119" s="1"/>
  <c r="G9" i="118"/>
  <c r="D9" i="118" s="1"/>
  <c r="G10" i="118"/>
  <c r="D10" i="118" s="1"/>
  <c r="G9" i="117"/>
  <c r="D9" i="117" s="1"/>
  <c r="G8" i="117"/>
  <c r="D8" i="117" s="1"/>
  <c r="G11" i="115"/>
  <c r="D11" i="115" s="1"/>
  <c r="G8" i="115"/>
  <c r="D8" i="115" s="1"/>
  <c r="G9" i="112"/>
  <c r="D9" i="112" s="1"/>
  <c r="G8" i="112"/>
  <c r="D8" i="112" s="1"/>
  <c r="G9" i="114"/>
  <c r="D9" i="114" s="1"/>
  <c r="G8" i="114"/>
  <c r="D8" i="114" s="1"/>
  <c r="G11" i="111"/>
  <c r="D11" i="111" s="1"/>
  <c r="G15" i="110"/>
  <c r="D15" i="110" s="1"/>
  <c r="G14" i="110"/>
  <c r="D14" i="110" s="1"/>
  <c r="G13" i="110"/>
  <c r="D13" i="110" s="1"/>
  <c r="G12" i="110"/>
  <c r="D12" i="110" s="1"/>
  <c r="G11" i="110"/>
  <c r="D11" i="110" s="1"/>
  <c r="G9" i="109"/>
  <c r="D9" i="109" s="1"/>
  <c r="G8" i="109"/>
  <c r="D8" i="109" s="1"/>
  <c r="G9" i="107"/>
  <c r="D9" i="107" s="1"/>
  <c r="G8" i="107"/>
  <c r="D8" i="107" s="1"/>
  <c r="G9" i="108"/>
  <c r="D9" i="108" s="1"/>
  <c r="G8" i="108"/>
  <c r="D8" i="108" s="1"/>
  <c r="G9" i="106"/>
  <c r="D9" i="106" s="1"/>
  <c r="G8" i="106"/>
  <c r="D8" i="106" s="1"/>
  <c r="G10" i="104"/>
  <c r="D10" i="104" s="1"/>
  <c r="G9" i="104"/>
  <c r="D9" i="104" s="1"/>
  <c r="G8" i="104"/>
  <c r="D8" i="104" s="1"/>
  <c r="G19" i="105"/>
  <c r="D19" i="105" s="1"/>
  <c r="G18" i="105"/>
  <c r="D18" i="105" s="1"/>
  <c r="G9" i="93"/>
  <c r="D9" i="93" s="1"/>
  <c r="G18" i="101"/>
  <c r="G16" i="101"/>
  <c r="G10" i="102"/>
  <c r="D10" i="102" s="1"/>
  <c r="G8" i="102"/>
  <c r="D8" i="102" s="1"/>
  <c r="G10" i="94"/>
  <c r="G9" i="94"/>
  <c r="G8" i="94"/>
  <c r="D8" i="94" s="1"/>
  <c r="G9" i="89"/>
  <c r="D9" i="89" s="1"/>
  <c r="G11" i="100"/>
  <c r="D11" i="100" s="1"/>
  <c r="CZ3" i="2"/>
  <c r="G8" i="93"/>
  <c r="D8" i="93" s="1"/>
  <c r="G10" i="93"/>
  <c r="D10" i="93" s="1"/>
  <c r="G11" i="93"/>
  <c r="D11" i="93" s="1"/>
  <c r="G9" i="95"/>
  <c r="D9" i="95" s="1"/>
  <c r="G8" i="95"/>
  <c r="D8" i="95" s="1"/>
  <c r="G10" i="97"/>
  <c r="D10" i="97" s="1"/>
  <c r="G9" i="97"/>
  <c r="D9" i="97" s="1"/>
  <c r="G10" i="92"/>
  <c r="D10" i="92" s="1"/>
  <c r="G11" i="92"/>
  <c r="D11" i="92" s="1"/>
  <c r="G10" i="83"/>
  <c r="D10" i="83" s="1"/>
  <c r="C10" i="83"/>
  <c r="G9" i="83"/>
  <c r="D9" i="83" s="1"/>
  <c r="C9" i="83"/>
  <c r="G8" i="83"/>
  <c r="D8" i="83" s="1"/>
  <c r="C8" i="83"/>
  <c r="G8" i="89"/>
  <c r="D8" i="89" s="1"/>
  <c r="G8" i="91"/>
  <c r="D8" i="91" s="1"/>
  <c r="G14" i="88"/>
  <c r="D14" i="88" s="1"/>
  <c r="G17" i="88"/>
  <c r="D17" i="88" s="1"/>
  <c r="G9" i="40"/>
  <c r="D11" i="40" s="1"/>
  <c r="G8" i="40"/>
  <c r="G9" i="25"/>
  <c r="D9" i="25" s="1"/>
  <c r="G10" i="24"/>
  <c r="D10" i="24" s="1"/>
  <c r="G9" i="24"/>
  <c r="D9" i="24" s="1"/>
  <c r="G8" i="24"/>
  <c r="D8" i="24" s="1"/>
  <c r="G9" i="12"/>
  <c r="G8" i="8"/>
  <c r="D8" i="8" s="1"/>
  <c r="G9" i="8"/>
  <c r="D9" i="8" s="1"/>
  <c r="G8" i="62"/>
  <c r="D8" i="62" s="1"/>
  <c r="F5" i="62" s="1"/>
  <c r="G8" i="54"/>
  <c r="D8" i="54" s="1"/>
  <c r="G9" i="54"/>
  <c r="D9" i="54" s="1"/>
  <c r="G14" i="53"/>
  <c r="D14" i="53" s="1"/>
  <c r="G8" i="51"/>
  <c r="D8" i="51" s="1"/>
  <c r="G10" i="55"/>
  <c r="D10" i="55" s="1"/>
  <c r="E11" i="55" s="1"/>
  <c r="BH40" i="2" s="1"/>
  <c r="G11" i="55"/>
  <c r="D11" i="55" s="1"/>
  <c r="G8" i="59"/>
  <c r="D8" i="59" s="1"/>
  <c r="G8" i="61"/>
  <c r="D8" i="61" s="1"/>
  <c r="G9" i="61"/>
  <c r="D9" i="61" s="1"/>
  <c r="G13" i="64"/>
  <c r="D13" i="64" s="1"/>
  <c r="G10" i="64"/>
  <c r="D10" i="64" s="1"/>
  <c r="G8" i="65"/>
  <c r="D8" i="65" s="1"/>
  <c r="G9" i="65"/>
  <c r="D9" i="65" s="1"/>
  <c r="G10" i="70"/>
  <c r="D10" i="70" s="1"/>
  <c r="G11" i="70"/>
  <c r="D11" i="70" s="1"/>
  <c r="G10" i="37"/>
  <c r="D10" i="37" s="1"/>
  <c r="G9" i="37"/>
  <c r="D9" i="37" s="1"/>
  <c r="G9" i="35"/>
  <c r="D9" i="35" s="1"/>
  <c r="G10" i="39"/>
  <c r="D10" i="39" s="1"/>
  <c r="G8" i="39"/>
  <c r="D8" i="39" s="1"/>
  <c r="G11" i="38"/>
  <c r="D11" i="38" s="1"/>
  <c r="G12" i="38"/>
  <c r="D12" i="38" s="1"/>
  <c r="G10" i="34"/>
  <c r="D10" i="34" s="1"/>
  <c r="G9" i="34"/>
  <c r="D9" i="34" s="1"/>
  <c r="G10" i="29"/>
  <c r="D10" i="29" s="1"/>
  <c r="G8" i="29"/>
  <c r="D8" i="29" s="1"/>
  <c r="G8" i="41"/>
  <c r="D8" i="41" s="1"/>
  <c r="G9" i="41"/>
  <c r="D9" i="41" s="1"/>
  <c r="G8" i="36"/>
  <c r="D8" i="36" s="1"/>
  <c r="G9" i="36"/>
  <c r="D9" i="36" s="1"/>
  <c r="G8" i="33"/>
  <c r="D8" i="33" s="1"/>
  <c r="G9" i="33"/>
  <c r="D9" i="33" s="1"/>
  <c r="J3" i="2"/>
  <c r="G9" i="3"/>
  <c r="D9" i="3" s="1"/>
  <c r="C9" i="3"/>
  <c r="G8" i="3"/>
  <c r="D8" i="3" s="1"/>
  <c r="C8" i="3"/>
  <c r="C10" i="3"/>
  <c r="G10" i="3"/>
  <c r="D10" i="3" s="1"/>
  <c r="E16" i="97" l="1"/>
  <c r="E20" i="97"/>
  <c r="E11" i="97"/>
  <c r="E15" i="97"/>
  <c r="E17" i="97"/>
  <c r="E12" i="97"/>
  <c r="E19" i="97"/>
  <c r="E13" i="97"/>
  <c r="E18" i="97"/>
  <c r="E14" i="97"/>
  <c r="E11" i="95"/>
  <c r="E12" i="95"/>
  <c r="E10" i="95"/>
  <c r="E13" i="95"/>
  <c r="E14" i="95"/>
  <c r="E10" i="91"/>
  <c r="E13" i="91"/>
  <c r="E12" i="91"/>
  <c r="E14" i="91"/>
  <c r="E9" i="91"/>
  <c r="E15" i="61"/>
  <c r="BO131" i="2" s="1"/>
  <c r="E14" i="61"/>
  <c r="BO60" i="2" s="1"/>
  <c r="E17" i="61"/>
  <c r="BO161" i="2" s="1"/>
  <c r="E10" i="61"/>
  <c r="BO43" i="2" s="1"/>
  <c r="E13" i="61"/>
  <c r="BO74" i="2" s="1"/>
  <c r="E8" i="61"/>
  <c r="BO44" i="2" s="1"/>
  <c r="E16" i="61"/>
  <c r="BO160" i="2" s="1"/>
  <c r="E9" i="61"/>
  <c r="BO45" i="2" s="1"/>
  <c r="E11" i="61"/>
  <c r="BO109" i="2" s="1"/>
  <c r="E12" i="61"/>
  <c r="BO104" i="2" s="1"/>
  <c r="F5" i="61"/>
  <c r="E10" i="54"/>
  <c r="BN32" i="2" s="1"/>
  <c r="E9" i="54"/>
  <c r="BN16" i="2" s="1"/>
  <c r="E8" i="54"/>
  <c r="BN120" i="2" s="1"/>
  <c r="DL120" i="2" s="1"/>
  <c r="DE120" i="2" s="1"/>
  <c r="F5" i="54"/>
  <c r="E12" i="53"/>
  <c r="BL33" i="2" s="1"/>
  <c r="E8" i="53"/>
  <c r="BL16" i="2" s="1"/>
  <c r="E9" i="53"/>
  <c r="BL144" i="2" s="1"/>
  <c r="E11" i="53"/>
  <c r="BL9" i="2" s="1"/>
  <c r="E13" i="53"/>
  <c r="BL54" i="2" s="1"/>
  <c r="E12" i="64"/>
  <c r="BM33" i="2" s="1"/>
  <c r="E13" i="64"/>
  <c r="BM156" i="2" s="1"/>
  <c r="E9" i="64"/>
  <c r="BM144" i="2" s="1"/>
  <c r="F5" i="64"/>
  <c r="E10" i="64"/>
  <c r="BM21" i="2" s="1"/>
  <c r="E8" i="64"/>
  <c r="BM16" i="2" s="1"/>
  <c r="E11" i="64"/>
  <c r="BM9" i="2" s="1"/>
  <c r="E11" i="51"/>
  <c r="BJ109" i="2" s="1"/>
  <c r="E10" i="51"/>
  <c r="BJ43" i="2" s="1"/>
  <c r="E10" i="65"/>
  <c r="BK43" i="2" s="1"/>
  <c r="F5" i="65"/>
  <c r="E8" i="65"/>
  <c r="BK44" i="2" s="1"/>
  <c r="E11" i="65"/>
  <c r="BK109" i="2" s="1"/>
  <c r="E9" i="65"/>
  <c r="BK45" i="2" s="1"/>
  <c r="E27" i="70"/>
  <c r="BI4" i="2" s="1"/>
  <c r="E9" i="70"/>
  <c r="BI102" i="2" s="1"/>
  <c r="E15" i="70"/>
  <c r="BI82" i="2" s="1"/>
  <c r="E30" i="70"/>
  <c r="BI94" i="2" s="1"/>
  <c r="E28" i="70"/>
  <c r="BI49" i="2" s="1"/>
  <c r="E26" i="70"/>
  <c r="BI78" i="2" s="1"/>
  <c r="E19" i="70"/>
  <c r="BI110" i="2" s="1"/>
  <c r="E13" i="70"/>
  <c r="BI31" i="2" s="1"/>
  <c r="E14" i="70"/>
  <c r="BI42" i="2" s="1"/>
  <c r="E20" i="70"/>
  <c r="BI93" i="2" s="1"/>
  <c r="E12" i="70"/>
  <c r="BI5" i="2" s="1"/>
  <c r="E17" i="70"/>
  <c r="BI98" i="2" s="1"/>
  <c r="E23" i="70"/>
  <c r="BI155" i="2" s="1"/>
  <c r="E8" i="70"/>
  <c r="BI22" i="2" s="1"/>
  <c r="E18" i="70"/>
  <c r="BI35" i="2" s="1"/>
  <c r="E29" i="70"/>
  <c r="BI154" i="2" s="1"/>
  <c r="E16" i="70"/>
  <c r="BI134" i="2" s="1"/>
  <c r="E25" i="70"/>
  <c r="BI76" i="2" s="1"/>
  <c r="E24" i="70"/>
  <c r="BI121" i="2" s="1"/>
  <c r="E8" i="56"/>
  <c r="AN22" i="2" s="1"/>
  <c r="E27" i="55"/>
  <c r="BH49" i="2" s="1"/>
  <c r="E13" i="55"/>
  <c r="BH31" i="2" s="1"/>
  <c r="E22" i="55"/>
  <c r="BH95" i="2" s="1"/>
  <c r="E18" i="55"/>
  <c r="BH35" i="2" s="1"/>
  <c r="E12" i="55"/>
  <c r="BH5" i="2" s="1"/>
  <c r="F5" i="55"/>
  <c r="E30" i="55"/>
  <c r="BH94" i="2" s="1"/>
  <c r="E23" i="55"/>
  <c r="BH107" i="2" s="1"/>
  <c r="E16" i="55"/>
  <c r="BH134" i="2" s="1"/>
  <c r="E29" i="55"/>
  <c r="BH4" i="2" s="1"/>
  <c r="E14" i="55"/>
  <c r="BH42" i="2" s="1"/>
  <c r="E9" i="55"/>
  <c r="BH102" i="2" s="1"/>
  <c r="E24" i="55"/>
  <c r="BH121" i="2" s="1"/>
  <c r="E20" i="55"/>
  <c r="BH47" i="2" s="1"/>
  <c r="E26" i="55"/>
  <c r="BH76" i="2" s="1"/>
  <c r="E19" i="55"/>
  <c r="BH110" i="2" s="1"/>
  <c r="E10" i="55"/>
  <c r="BH92" i="2" s="1"/>
  <c r="E25" i="55"/>
  <c r="BH78" i="2" s="1"/>
  <c r="E21" i="55"/>
  <c r="BH11" i="2" s="1"/>
  <c r="E15" i="55"/>
  <c r="BH82" i="2" s="1"/>
  <c r="E28" i="55"/>
  <c r="BH71" i="2" s="1"/>
  <c r="E8" i="55"/>
  <c r="BH22" i="2" s="1"/>
  <c r="E17" i="55"/>
  <c r="BH98" i="2" s="1"/>
  <c r="E12" i="60"/>
  <c r="BG70" i="2" s="1"/>
  <c r="E8" i="60"/>
  <c r="BG74" i="2" s="1"/>
  <c r="E11" i="60"/>
  <c r="BG97" i="2" s="1"/>
  <c r="F5" i="60"/>
  <c r="E14" i="60"/>
  <c r="BG100" i="2" s="1"/>
  <c r="E10" i="60"/>
  <c r="BG135" i="2" s="1"/>
  <c r="E13" i="60"/>
  <c r="BG36" i="2" s="1"/>
  <c r="E9" i="60"/>
  <c r="BG62" i="2" s="1"/>
  <c r="F5" i="39"/>
  <c r="D9" i="85"/>
  <c r="E9" i="49"/>
  <c r="BE144" i="2" s="1"/>
  <c r="E13" i="49"/>
  <c r="BE33" i="2" s="1"/>
  <c r="E11" i="48"/>
  <c r="BD88" i="2" s="1"/>
  <c r="F5" i="48"/>
  <c r="E10" i="48"/>
  <c r="BD123" i="2" s="1"/>
  <c r="E9" i="48"/>
  <c r="BD57" i="2" s="1"/>
  <c r="E8" i="48"/>
  <c r="BD145" i="2" s="1"/>
  <c r="E10" i="41"/>
  <c r="AZ88" i="2" s="1"/>
  <c r="E9" i="41"/>
  <c r="AZ57" i="2" s="1"/>
  <c r="E8" i="41"/>
  <c r="AZ145" i="2" s="1"/>
  <c r="F5" i="41"/>
  <c r="D9" i="40"/>
  <c r="D14" i="40"/>
  <c r="D10" i="40"/>
  <c r="D8" i="40"/>
  <c r="F5" i="37"/>
  <c r="E9" i="37"/>
  <c r="AV14" i="2" s="1"/>
  <c r="E10" i="37"/>
  <c r="AV146" i="2" s="1"/>
  <c r="E8" i="37"/>
  <c r="AV136" i="2" s="1"/>
  <c r="F5" i="45"/>
  <c r="F5" i="59"/>
  <c r="E10" i="59"/>
  <c r="AU53" i="2" s="1"/>
  <c r="F5" i="35"/>
  <c r="E9" i="35"/>
  <c r="AP136" i="2" s="1"/>
  <c r="E8" i="35"/>
  <c r="AP60" i="2" s="1"/>
  <c r="E9" i="36"/>
  <c r="AQ60" i="2" s="1"/>
  <c r="E8" i="36"/>
  <c r="AQ74" i="2" s="1"/>
  <c r="F5" i="36"/>
  <c r="E10" i="36"/>
  <c r="AQ73" i="2" s="1"/>
  <c r="E10" i="45"/>
  <c r="AR43" i="2" s="1"/>
  <c r="E36" i="56"/>
  <c r="AN75" i="2" s="1"/>
  <c r="E32" i="56"/>
  <c r="AN134" i="2" s="1"/>
  <c r="E28" i="56"/>
  <c r="AN31" i="2" s="1"/>
  <c r="E24" i="56"/>
  <c r="AN85" i="2" s="1"/>
  <c r="E20" i="56"/>
  <c r="AN81" i="2" s="1"/>
  <c r="E16" i="56"/>
  <c r="AN113" i="2" s="1"/>
  <c r="E12" i="56"/>
  <c r="AN40" i="2" s="1"/>
  <c r="E25" i="56"/>
  <c r="AN82" i="2" s="1"/>
  <c r="E13" i="56"/>
  <c r="E39" i="56"/>
  <c r="AN11" i="2" s="1"/>
  <c r="E35" i="56"/>
  <c r="AN101" i="2" s="1"/>
  <c r="E31" i="56"/>
  <c r="AN102" i="2" s="1"/>
  <c r="E27" i="56"/>
  <c r="AN79" i="2" s="1"/>
  <c r="E23" i="56"/>
  <c r="AN64" i="2" s="1"/>
  <c r="E19" i="56"/>
  <c r="AN98" i="2" s="1"/>
  <c r="E15" i="56"/>
  <c r="AN27" i="2" s="1"/>
  <c r="E11" i="56"/>
  <c r="AN143" i="2" s="1"/>
  <c r="F5" i="56"/>
  <c r="E37" i="56"/>
  <c r="AN47" i="2" s="1"/>
  <c r="E33" i="56"/>
  <c r="AN35" i="2" s="1"/>
  <c r="E29" i="56"/>
  <c r="AN30" i="2" s="1"/>
  <c r="E21" i="56"/>
  <c r="AN110" i="2" s="1"/>
  <c r="E17" i="56"/>
  <c r="AN114" i="2" s="1"/>
  <c r="E38" i="56"/>
  <c r="AN151" i="2" s="1"/>
  <c r="E34" i="56"/>
  <c r="AN117" i="2" s="1"/>
  <c r="E30" i="56"/>
  <c r="AN10" i="2" s="1"/>
  <c r="E26" i="56"/>
  <c r="AN63" i="2" s="1"/>
  <c r="E22" i="56"/>
  <c r="AN90" i="2" s="1"/>
  <c r="E18" i="56"/>
  <c r="AN24" i="2" s="1"/>
  <c r="E14" i="56"/>
  <c r="AN140" i="2" s="1"/>
  <c r="E10" i="56"/>
  <c r="AN87" i="2" s="1"/>
  <c r="E9" i="56"/>
  <c r="AN92" i="2" s="1"/>
  <c r="D22" i="52"/>
  <c r="D20" i="52"/>
  <c r="E9" i="34"/>
  <c r="AO28" i="2" s="1"/>
  <c r="E10" i="34"/>
  <c r="AO18" i="2" s="1"/>
  <c r="E8" i="34"/>
  <c r="AO53" i="2" s="1"/>
  <c r="E9" i="33"/>
  <c r="AL53" i="2" s="1"/>
  <c r="E10" i="33"/>
  <c r="AL28" i="2" s="1"/>
  <c r="E8" i="100"/>
  <c r="AJ45" i="2" s="1"/>
  <c r="F5" i="100"/>
  <c r="E8" i="47"/>
  <c r="AK53" i="2" s="1"/>
  <c r="F5" i="29"/>
  <c r="E15" i="87"/>
  <c r="AH148" i="2" s="1"/>
  <c r="E11" i="87"/>
  <c r="AH9" i="2" s="1"/>
  <c r="F5" i="87"/>
  <c r="E13" i="87"/>
  <c r="AH54" i="2" s="1"/>
  <c r="E9" i="87"/>
  <c r="AH144" i="2" s="1"/>
  <c r="E14" i="87"/>
  <c r="AH50" i="2" s="1"/>
  <c r="E10" i="87"/>
  <c r="AH21" i="2" s="1"/>
  <c r="E12" i="87"/>
  <c r="AH33" i="2" s="1"/>
  <c r="E8" i="87"/>
  <c r="AH16" i="2" s="1"/>
  <c r="F5" i="15"/>
  <c r="F5" i="28"/>
  <c r="E9" i="28"/>
  <c r="AC84" i="2" s="1"/>
  <c r="E8" i="28"/>
  <c r="AC104" i="2" s="1"/>
  <c r="E11" i="32"/>
  <c r="AD141" i="2" s="1"/>
  <c r="F5" i="32"/>
  <c r="E9" i="32"/>
  <c r="AD25" i="2" s="1"/>
  <c r="E8" i="32"/>
  <c r="AD62" i="2" s="1"/>
  <c r="E10" i="32"/>
  <c r="AD29" i="2" s="1"/>
  <c r="E12" i="29"/>
  <c r="AG33" i="2" s="1"/>
  <c r="E11" i="29"/>
  <c r="AG9" i="2" s="1"/>
  <c r="D10" i="27"/>
  <c r="D9" i="27"/>
  <c r="D8" i="27"/>
  <c r="D11" i="27"/>
  <c r="E8" i="25"/>
  <c r="Z23" i="2" s="1"/>
  <c r="F5" i="25"/>
  <c r="E9" i="25"/>
  <c r="Z115" i="2" s="1"/>
  <c r="DL115" i="2" s="1"/>
  <c r="DE115" i="2" s="1"/>
  <c r="E11" i="16"/>
  <c r="W84" i="2" s="1"/>
  <c r="E9" i="84"/>
  <c r="V45" i="2" s="1"/>
  <c r="F5" i="84"/>
  <c r="E8" i="84"/>
  <c r="V44" i="2" s="1"/>
  <c r="F5" i="11"/>
  <c r="E14" i="13"/>
  <c r="S65" i="2" s="1"/>
  <c r="E17" i="13"/>
  <c r="S142" i="2" s="1"/>
  <c r="E15" i="13"/>
  <c r="S26" i="2" s="1"/>
  <c r="E12" i="13"/>
  <c r="S25" i="2" s="1"/>
  <c r="E13" i="13"/>
  <c r="S138" i="2" s="1"/>
  <c r="E11" i="13"/>
  <c r="S137" i="2" s="1"/>
  <c r="E16" i="13"/>
  <c r="S141" i="2" s="1"/>
  <c r="E16" i="11"/>
  <c r="Q66" i="2" s="1"/>
  <c r="E12" i="11"/>
  <c r="Q46" i="2" s="1"/>
  <c r="E17" i="11"/>
  <c r="Q74" i="2" s="1"/>
  <c r="E11" i="11"/>
  <c r="Q60" i="2" s="1"/>
  <c r="E18" i="11"/>
  <c r="Q131" i="2" s="1"/>
  <c r="E10" i="11"/>
  <c r="Q41" i="2" s="1"/>
  <c r="E15" i="11"/>
  <c r="Q62" i="2" s="1"/>
  <c r="E14" i="11"/>
  <c r="Q17" i="2" s="1"/>
  <c r="E13" i="11"/>
  <c r="Q84" i="2" s="1"/>
  <c r="E11" i="10"/>
  <c r="P60" i="2" s="1"/>
  <c r="E18" i="10"/>
  <c r="P131" i="2" s="1"/>
  <c r="E17" i="10"/>
  <c r="P74" i="2" s="1"/>
  <c r="E13" i="10"/>
  <c r="P84" i="2" s="1"/>
  <c r="E14" i="10"/>
  <c r="P17" i="2" s="1"/>
  <c r="E16" i="10"/>
  <c r="P66" i="2" s="1"/>
  <c r="E15" i="10"/>
  <c r="P62" i="2" s="1"/>
  <c r="E12" i="10"/>
  <c r="P46" i="2" s="1"/>
  <c r="F5" i="9"/>
  <c r="E13" i="9"/>
  <c r="O84" i="2" s="1"/>
  <c r="E12" i="9"/>
  <c r="O46" i="2" s="1"/>
  <c r="E18" i="9"/>
  <c r="O131" i="2" s="1"/>
  <c r="E14" i="9"/>
  <c r="O17" i="2" s="1"/>
  <c r="E17" i="9"/>
  <c r="O74" i="2" s="1"/>
  <c r="E16" i="9"/>
  <c r="O66" i="2" s="1"/>
  <c r="E15" i="9"/>
  <c r="O62" i="2" s="1"/>
  <c r="E11" i="9"/>
  <c r="O60" i="2" s="1"/>
  <c r="E11" i="4"/>
  <c r="I120" i="2" s="1"/>
  <c r="E14" i="106"/>
  <c r="E13" i="106"/>
  <c r="F5" i="118"/>
  <c r="E12" i="106"/>
  <c r="E11" i="106"/>
  <c r="E8" i="118"/>
  <c r="F5" i="93"/>
  <c r="D9" i="94"/>
  <c r="E8" i="94" s="1"/>
  <c r="E16" i="104"/>
  <c r="E17" i="104"/>
  <c r="E18" i="103"/>
  <c r="E15" i="103"/>
  <c r="E16" i="103"/>
  <c r="F5" i="103"/>
  <c r="E19" i="103"/>
  <c r="E17" i="103"/>
  <c r="E8" i="102"/>
  <c r="E16" i="93"/>
  <c r="E14" i="93"/>
  <c r="E15" i="93"/>
  <c r="E17" i="93"/>
  <c r="E13" i="93"/>
  <c r="E17" i="88"/>
  <c r="BR7" i="2" s="1"/>
  <c r="E14" i="88"/>
  <c r="BR22" i="2" s="1"/>
  <c r="E19" i="88"/>
  <c r="BR16" i="2" s="1"/>
  <c r="F5" i="88"/>
  <c r="E9" i="96"/>
  <c r="F5" i="96"/>
  <c r="E10" i="96"/>
  <c r="E8" i="96"/>
  <c r="D10" i="101"/>
  <c r="D16" i="101"/>
  <c r="D8" i="101"/>
  <c r="D18" i="101"/>
  <c r="D12" i="101"/>
  <c r="D14" i="101"/>
  <c r="E16" i="102"/>
  <c r="E13" i="102"/>
  <c r="E14" i="102"/>
  <c r="E11" i="102"/>
  <c r="E17" i="102"/>
  <c r="E12" i="102"/>
  <c r="D10" i="94"/>
  <c r="E8" i="97"/>
  <c r="E18" i="92"/>
  <c r="BP16" i="2" s="1"/>
  <c r="E21" i="92"/>
  <c r="BP163" i="2" s="1"/>
  <c r="G163" i="2" s="1"/>
  <c r="E8" i="92"/>
  <c r="BP145" i="2" s="1"/>
  <c r="E11" i="92"/>
  <c r="BP88" i="2" s="1"/>
  <c r="E14" i="92"/>
  <c r="BP22" i="2" s="1"/>
  <c r="E17" i="92"/>
  <c r="BP69" i="2" s="1"/>
  <c r="E15" i="92"/>
  <c r="BP23" i="2" s="1"/>
  <c r="E9" i="92"/>
  <c r="BP57" i="2" s="1"/>
  <c r="F5" i="92"/>
  <c r="E16" i="92"/>
  <c r="BP7" i="2" s="1"/>
  <c r="E10" i="92"/>
  <c r="BP123" i="2" s="1"/>
  <c r="E19" i="92"/>
  <c r="BP9" i="2" s="1"/>
  <c r="E20" i="92"/>
  <c r="BP162" i="2" s="1"/>
  <c r="E13" i="92"/>
  <c r="BP150" i="2" s="1"/>
  <c r="E12" i="92"/>
  <c r="BP13" i="2" s="1"/>
  <c r="F5" i="53"/>
  <c r="E16" i="62"/>
  <c r="BQ160" i="2" s="1"/>
  <c r="E8" i="62"/>
  <c r="BQ44" i="2" s="1"/>
  <c r="E15" i="62"/>
  <c r="BQ131" i="2" s="1"/>
  <c r="E14" i="62"/>
  <c r="BQ60" i="2" s="1"/>
  <c r="E12" i="62"/>
  <c r="BQ104" i="2" s="1"/>
  <c r="E13" i="62"/>
  <c r="BQ74" i="2" s="1"/>
  <c r="E11" i="62"/>
  <c r="BQ109" i="2" s="1"/>
  <c r="E10" i="62"/>
  <c r="BQ43" i="2" s="1"/>
  <c r="E17" i="62"/>
  <c r="BQ161" i="2" s="1"/>
  <c r="E9" i="62"/>
  <c r="BQ45" i="2" s="1"/>
  <c r="F5" i="43"/>
  <c r="E8" i="43"/>
  <c r="BC145" i="2" s="1"/>
  <c r="E8" i="42"/>
  <c r="BA145" i="2" s="1"/>
  <c r="F5" i="42"/>
  <c r="E10" i="42"/>
  <c r="BA88" i="2" s="1"/>
  <c r="E9" i="42"/>
  <c r="BA57" i="2" s="1"/>
  <c r="F5" i="44"/>
  <c r="F5" i="70"/>
  <c r="E8" i="49"/>
  <c r="BE16" i="2" s="1"/>
  <c r="E11" i="49"/>
  <c r="BE9" i="2" s="1"/>
  <c r="E11" i="39"/>
  <c r="AY88" i="2" s="1"/>
  <c r="E8" i="39"/>
  <c r="AY145" i="2" s="1"/>
  <c r="E10" i="39"/>
  <c r="AY123" i="2" s="1"/>
  <c r="E9" i="39"/>
  <c r="AY57" i="2" s="1"/>
  <c r="D9" i="5"/>
  <c r="E10" i="5" s="1"/>
  <c r="J43" i="2" s="1"/>
  <c r="F5" i="38"/>
  <c r="E10" i="58"/>
  <c r="AT45" i="2" s="1"/>
  <c r="E9" i="58"/>
  <c r="AT109" i="2" s="1"/>
  <c r="E8" i="58"/>
  <c r="AT44" i="2" s="1"/>
  <c r="E11" i="58"/>
  <c r="AT43" i="2" s="1"/>
  <c r="E9" i="59"/>
  <c r="AU60" i="2" s="1"/>
  <c r="F5" i="46"/>
  <c r="E9" i="46"/>
  <c r="AS60" i="2" s="1"/>
  <c r="E10" i="46"/>
  <c r="AS73" i="2" s="1"/>
  <c r="E12" i="100"/>
  <c r="AJ17" i="2" s="1"/>
  <c r="E11" i="100"/>
  <c r="AJ74" i="2" s="1"/>
  <c r="E9" i="100"/>
  <c r="AJ104" i="2" s="1"/>
  <c r="E10" i="100"/>
  <c r="AJ84" i="2" s="1"/>
  <c r="E9" i="47"/>
  <c r="AK136" i="2" s="1"/>
  <c r="E10" i="47"/>
  <c r="AK28" i="2" s="1"/>
  <c r="E11" i="45"/>
  <c r="AR109" i="2" s="1"/>
  <c r="E8" i="45"/>
  <c r="AR44" i="2" s="1"/>
  <c r="E9" i="45"/>
  <c r="AR45" i="2" s="1"/>
  <c r="E9" i="99"/>
  <c r="AI104" i="2" s="1"/>
  <c r="E11" i="99"/>
  <c r="AI17" i="2" s="1"/>
  <c r="E10" i="99"/>
  <c r="AI74" i="2" s="1"/>
  <c r="D8" i="85"/>
  <c r="F5" i="26"/>
  <c r="D11" i="85"/>
  <c r="D10" i="85"/>
  <c r="F5" i="24"/>
  <c r="F5" i="13"/>
  <c r="F5" i="10"/>
  <c r="E10" i="10"/>
  <c r="P41" i="2" s="1"/>
  <c r="D9" i="12"/>
  <c r="D12" i="12"/>
  <c r="D11" i="12"/>
  <c r="D10" i="8"/>
  <c r="F5" i="8" s="1"/>
  <c r="E9" i="9"/>
  <c r="O104" i="2" s="1"/>
  <c r="E10" i="9"/>
  <c r="O41" i="2" s="1"/>
  <c r="E8" i="9"/>
  <c r="O109" i="2" s="1"/>
  <c r="F5" i="98"/>
  <c r="E8" i="98"/>
  <c r="L44" i="2" s="1"/>
  <c r="E8" i="7"/>
  <c r="M22" i="2" s="1"/>
  <c r="F5" i="7"/>
  <c r="E10" i="7"/>
  <c r="M118" i="2" s="1"/>
  <c r="E9" i="7"/>
  <c r="M16" i="2" s="1"/>
  <c r="D10" i="6"/>
  <c r="D9" i="6"/>
  <c r="D10" i="5"/>
  <c r="F5" i="97"/>
  <c r="E9" i="95"/>
  <c r="E8" i="95"/>
  <c r="F5" i="95"/>
  <c r="E11" i="91"/>
  <c r="E22" i="70"/>
  <c r="BI95" i="2" s="1"/>
  <c r="E21" i="70"/>
  <c r="BI107" i="2" s="1"/>
  <c r="E8" i="3"/>
  <c r="E13" i="124"/>
  <c r="E8" i="120"/>
  <c r="E10" i="121"/>
  <c r="E12" i="122"/>
  <c r="E10" i="126"/>
  <c r="E8" i="109"/>
  <c r="F5" i="124"/>
  <c r="E9" i="123"/>
  <c r="E19" i="105"/>
  <c r="E8" i="93"/>
  <c r="E8" i="108"/>
  <c r="F5" i="121"/>
  <c r="E8" i="15"/>
  <c r="AF45" i="2" s="1"/>
  <c r="E11" i="124"/>
  <c r="E18" i="121"/>
  <c r="F5" i="104"/>
  <c r="E9" i="121"/>
  <c r="E8" i="121"/>
  <c r="E8" i="24"/>
  <c r="E9" i="29"/>
  <c r="AG144" i="2" s="1"/>
  <c r="E10" i="29"/>
  <c r="AG21" i="2" s="1"/>
  <c r="E8" i="113"/>
  <c r="E10" i="113"/>
  <c r="F5" i="116"/>
  <c r="E12" i="124"/>
  <c r="E14" i="124"/>
  <c r="E9" i="110"/>
  <c r="E8" i="124"/>
  <c r="E9" i="120"/>
  <c r="E9" i="44"/>
  <c r="BB57" i="2" s="1"/>
  <c r="E12" i="103"/>
  <c r="E9" i="104"/>
  <c r="E15" i="124"/>
  <c r="F5" i="120"/>
  <c r="E11" i="118"/>
  <c r="E11" i="122"/>
  <c r="E10" i="124"/>
  <c r="E9" i="93"/>
  <c r="E16" i="124"/>
  <c r="E9" i="112"/>
  <c r="E10" i="118"/>
  <c r="E13" i="115"/>
  <c r="E8" i="115"/>
  <c r="E13" i="125"/>
  <c r="E10" i="125"/>
  <c r="E11" i="125"/>
  <c r="E10" i="98"/>
  <c r="L43" i="2" s="1"/>
  <c r="E12" i="38"/>
  <c r="AW72" i="2" s="1"/>
  <c r="E8" i="46"/>
  <c r="AS74" i="2" s="1"/>
  <c r="E16" i="53"/>
  <c r="BL159" i="2" s="1"/>
  <c r="E15" i="53"/>
  <c r="BL158" i="2" s="1"/>
  <c r="E9" i="13"/>
  <c r="S62" i="2" s="1"/>
  <c r="E10" i="122"/>
  <c r="E13" i="122"/>
  <c r="F5" i="122"/>
  <c r="E9" i="114"/>
  <c r="E8" i="114"/>
  <c r="E9" i="51"/>
  <c r="BJ44" i="2" s="1"/>
  <c r="E15" i="104"/>
  <c r="E9" i="124"/>
  <c r="E19" i="121"/>
  <c r="E15" i="121"/>
  <c r="E17" i="124"/>
  <c r="E18" i="124"/>
  <c r="E9" i="10"/>
  <c r="P104" i="2" s="1"/>
  <c r="E10" i="102"/>
  <c r="E16" i="122"/>
  <c r="E14" i="104"/>
  <c r="E8" i="13"/>
  <c r="S46" i="2" s="1"/>
  <c r="E8" i="59"/>
  <c r="AU84" i="2" s="1"/>
  <c r="F5" i="102"/>
  <c r="E16" i="121"/>
  <c r="E8" i="33"/>
  <c r="AL136" i="2" s="1"/>
  <c r="E10" i="13"/>
  <c r="S123" i="2" s="1"/>
  <c r="E9" i="102"/>
  <c r="E9" i="16"/>
  <c r="W109" i="2" s="1"/>
  <c r="E15" i="102"/>
  <c r="E20" i="121"/>
  <c r="E13" i="121"/>
  <c r="E12" i="121"/>
  <c r="E17" i="121"/>
  <c r="E12" i="93"/>
  <c r="E8" i="44"/>
  <c r="BB145" i="2" s="1"/>
  <c r="E10" i="117"/>
  <c r="F5" i="117"/>
  <c r="E8" i="117"/>
  <c r="E9" i="117"/>
  <c r="F5" i="126"/>
  <c r="E9" i="126"/>
  <c r="E8" i="126"/>
  <c r="E11" i="126"/>
  <c r="E12" i="126"/>
  <c r="E11" i="111"/>
  <c r="E9" i="111"/>
  <c r="E12" i="111"/>
  <c r="F5" i="111"/>
  <c r="E8" i="111"/>
  <c r="E11" i="113"/>
  <c r="F5" i="113"/>
  <c r="E10" i="123"/>
  <c r="E9" i="24"/>
  <c r="E10" i="24"/>
  <c r="E11" i="103"/>
  <c r="E9" i="116"/>
  <c r="E10" i="116"/>
  <c r="E8" i="116"/>
  <c r="E10" i="110"/>
  <c r="E15" i="110"/>
  <c r="E12" i="110"/>
  <c r="F5" i="110"/>
  <c r="E13" i="110"/>
  <c r="E14" i="110"/>
  <c r="E8" i="110"/>
  <c r="E11" i="110"/>
  <c r="E8" i="91"/>
  <c r="E8" i="123"/>
  <c r="E8" i="107"/>
  <c r="F5" i="107"/>
  <c r="E10" i="111"/>
  <c r="E9" i="113"/>
  <c r="E9" i="98"/>
  <c r="L45" i="2" s="1"/>
  <c r="E9" i="107"/>
  <c r="E9" i="11"/>
  <c r="Q104" i="2" s="1"/>
  <c r="E8" i="11"/>
  <c r="Q109" i="2" s="1"/>
  <c r="F5" i="119"/>
  <c r="E9" i="119"/>
  <c r="E18" i="123"/>
  <c r="E16" i="123"/>
  <c r="E13" i="123"/>
  <c r="E12" i="123"/>
  <c r="E11" i="123"/>
  <c r="F5" i="123"/>
  <c r="E14" i="123"/>
  <c r="E15" i="123"/>
  <c r="E17" i="123"/>
  <c r="E10" i="4"/>
  <c r="I115" i="2" s="1"/>
  <c r="F5" i="4"/>
  <c r="E8" i="4"/>
  <c r="I22" i="2" s="1"/>
  <c r="E8" i="51"/>
  <c r="BJ45" i="2" s="1"/>
  <c r="E10" i="93"/>
  <c r="E11" i="93"/>
  <c r="E9" i="106"/>
  <c r="F5" i="106"/>
  <c r="F5" i="34"/>
  <c r="E9" i="4"/>
  <c r="I16" i="2" s="1"/>
  <c r="E9" i="118"/>
  <c r="E9" i="83"/>
  <c r="E8" i="83"/>
  <c r="E10" i="83"/>
  <c r="F5" i="83"/>
  <c r="E10" i="97"/>
  <c r="E9" i="97"/>
  <c r="E18" i="105"/>
  <c r="F5" i="105"/>
  <c r="F5" i="108"/>
  <c r="E9" i="108"/>
  <c r="E12" i="125"/>
  <c r="E9" i="125"/>
  <c r="E8" i="125"/>
  <c r="F5" i="125"/>
  <c r="F5" i="33"/>
  <c r="E11" i="70"/>
  <c r="BI40" i="2" s="1"/>
  <c r="E13" i="104"/>
  <c r="E8" i="112"/>
  <c r="F5" i="112"/>
  <c r="E14" i="122"/>
  <c r="E9" i="122"/>
  <c r="E17" i="122"/>
  <c r="E8" i="122"/>
  <c r="E15" i="122"/>
  <c r="E8" i="99"/>
  <c r="AI84" i="2" s="1"/>
  <c r="F5" i="51"/>
  <c r="E9" i="103"/>
  <c r="E10" i="103"/>
  <c r="E14" i="103"/>
  <c r="E13" i="103"/>
  <c r="E8" i="103"/>
  <c r="F5" i="114"/>
  <c r="E10" i="114"/>
  <c r="E10" i="115"/>
  <c r="F5" i="115"/>
  <c r="E14" i="115"/>
  <c r="E12" i="115"/>
  <c r="E11" i="115"/>
  <c r="E10" i="16"/>
  <c r="W104" i="2" s="1"/>
  <c r="F5" i="16"/>
  <c r="E8" i="16"/>
  <c r="W43" i="2" s="1"/>
  <c r="E8" i="29"/>
  <c r="AG16" i="2" s="1"/>
  <c r="E11" i="104"/>
  <c r="E12" i="104"/>
  <c r="E8" i="119"/>
  <c r="E10" i="119"/>
  <c r="E9" i="15"/>
  <c r="AF43" i="2" s="1"/>
  <c r="E9" i="43"/>
  <c r="BC57" i="2" s="1"/>
  <c r="E10" i="43"/>
  <c r="BC88" i="2" s="1"/>
  <c r="E14" i="49"/>
  <c r="BE147" i="2" s="1"/>
  <c r="E10" i="49"/>
  <c r="BE21" i="2" s="1"/>
  <c r="E12" i="49"/>
  <c r="BE148" i="2" s="1"/>
  <c r="F5" i="49"/>
  <c r="E10" i="3"/>
  <c r="E9" i="3"/>
  <c r="E10" i="53"/>
  <c r="BL21" i="2" s="1"/>
  <c r="E14" i="53"/>
  <c r="BL157" i="2" s="1"/>
  <c r="E8" i="106"/>
  <c r="E10" i="106"/>
  <c r="F5" i="109"/>
  <c r="E9" i="109"/>
  <c r="E11" i="38"/>
  <c r="AW112" i="2" s="1"/>
  <c r="E10" i="70"/>
  <c r="BI92" i="2" s="1"/>
  <c r="E8" i="104"/>
  <c r="E10" i="104"/>
  <c r="E14" i="121"/>
  <c r="E11" i="121"/>
  <c r="E9" i="115"/>
  <c r="E9" i="26"/>
  <c r="AB45" i="2" s="1"/>
  <c r="E8" i="26"/>
  <c r="AB44" i="2" s="1"/>
  <c r="E8" i="10"/>
  <c r="P109" i="2" s="1"/>
  <c r="E10" i="44"/>
  <c r="BB88" i="2" s="1"/>
  <c r="G150" i="2" l="1"/>
  <c r="DC150" i="2" s="1"/>
  <c r="DA150" i="2" s="1"/>
  <c r="DL150" i="2"/>
  <c r="DE150" i="2" s="1"/>
  <c r="DH150" i="2"/>
  <c r="DH69" i="2"/>
  <c r="G69" i="2"/>
  <c r="DC69" i="2" s="1"/>
  <c r="DA69" i="2" s="1"/>
  <c r="DL69" i="2"/>
  <c r="DE69" i="2" s="1"/>
  <c r="G162" i="2"/>
  <c r="DC162" i="2" s="1"/>
  <c r="DA162" i="2" s="1"/>
  <c r="DL162" i="2"/>
  <c r="DE162" i="2" s="1"/>
  <c r="DH162" i="2"/>
  <c r="G13" i="2"/>
  <c r="DC13" i="2" s="1"/>
  <c r="DA13" i="2" s="1"/>
  <c r="DH13" i="2"/>
  <c r="DL13" i="2"/>
  <c r="DE13" i="2" s="1"/>
  <c r="G160" i="2"/>
  <c r="DC160" i="2" s="1"/>
  <c r="DA160" i="2" s="1"/>
  <c r="DL160" i="2"/>
  <c r="DE160" i="2" s="1"/>
  <c r="DH160" i="2"/>
  <c r="G161" i="2"/>
  <c r="DC161" i="2" s="1"/>
  <c r="DA161" i="2" s="1"/>
  <c r="DH161" i="2"/>
  <c r="DL161" i="2"/>
  <c r="DE161" i="2" s="1"/>
  <c r="G156" i="2"/>
  <c r="DC156" i="2" s="1"/>
  <c r="DA156" i="2" s="1"/>
  <c r="DH156" i="2"/>
  <c r="DL156" i="2"/>
  <c r="DE156" i="2" s="1"/>
  <c r="G157" i="2"/>
  <c r="DC157" i="2" s="1"/>
  <c r="DA157" i="2" s="1"/>
  <c r="DH157" i="2"/>
  <c r="DL157" i="2"/>
  <c r="DE157" i="2" s="1"/>
  <c r="G158" i="2"/>
  <c r="DC158" i="2" s="1"/>
  <c r="DA158" i="2" s="1"/>
  <c r="DL158" i="2"/>
  <c r="DE158" i="2" s="1"/>
  <c r="DH158" i="2"/>
  <c r="G159" i="2"/>
  <c r="DC159" i="2" s="1"/>
  <c r="DA159" i="2" s="1"/>
  <c r="DH159" i="2"/>
  <c r="DL159" i="2"/>
  <c r="DE159" i="2" s="1"/>
  <c r="G71" i="2"/>
  <c r="DC71" i="2" s="1"/>
  <c r="DA71" i="2" s="1"/>
  <c r="DH71" i="2"/>
  <c r="DL71" i="2"/>
  <c r="DE71" i="2" s="1"/>
  <c r="G121" i="2"/>
  <c r="DC121" i="2" s="1"/>
  <c r="DA121" i="2" s="1"/>
  <c r="DH121" i="2"/>
  <c r="DL121" i="2"/>
  <c r="DE121" i="2" s="1"/>
  <c r="DL49" i="2"/>
  <c r="DE49" i="2" s="1"/>
  <c r="G49" i="2"/>
  <c r="DC49" i="2" s="1"/>
  <c r="DA49" i="2" s="1"/>
  <c r="DH49" i="2"/>
  <c r="G155" i="2"/>
  <c r="DC155" i="2" s="1"/>
  <c r="DA155" i="2" s="1"/>
  <c r="DH155" i="2"/>
  <c r="DL155" i="2"/>
  <c r="DE155" i="2" s="1"/>
  <c r="G107" i="2"/>
  <c r="DC107" i="2" s="1"/>
  <c r="DA107" i="2" s="1"/>
  <c r="DL107" i="2"/>
  <c r="DE107" i="2" s="1"/>
  <c r="DH107" i="2"/>
  <c r="DL154" i="2"/>
  <c r="DE154" i="2" s="1"/>
  <c r="G154" i="2"/>
  <c r="DC154" i="2" s="1"/>
  <c r="DA154" i="2" s="1"/>
  <c r="DH154" i="2"/>
  <c r="DH76" i="2"/>
  <c r="DL76" i="2"/>
  <c r="DE76" i="2" s="1"/>
  <c r="G76" i="2"/>
  <c r="DC76" i="2" s="1"/>
  <c r="DA76" i="2" s="1"/>
  <c r="DL42" i="2"/>
  <c r="DE42" i="2" s="1"/>
  <c r="DH42" i="2"/>
  <c r="G42" i="2"/>
  <c r="DC42" i="2" s="1"/>
  <c r="DA42" i="2" s="1"/>
  <c r="DH94" i="2"/>
  <c r="DL94" i="2"/>
  <c r="DE94" i="2" s="1"/>
  <c r="G94" i="2"/>
  <c r="DC94" i="2" s="1"/>
  <c r="DA94" i="2" s="1"/>
  <c r="G95" i="2"/>
  <c r="DC95" i="2" s="1"/>
  <c r="DA95" i="2" s="1"/>
  <c r="DH95" i="2"/>
  <c r="DL95" i="2"/>
  <c r="DE95" i="2" s="1"/>
  <c r="DL78" i="2"/>
  <c r="DE78" i="2" s="1"/>
  <c r="DH78" i="2"/>
  <c r="G78" i="2"/>
  <c r="DC78" i="2" s="1"/>
  <c r="DA78" i="2" s="1"/>
  <c r="DH4" i="2"/>
  <c r="G4" i="2"/>
  <c r="DC4" i="2" s="1"/>
  <c r="DA4" i="2" s="1"/>
  <c r="DL4" i="2"/>
  <c r="DE4" i="2" s="1"/>
  <c r="DL93" i="2"/>
  <c r="DE93" i="2" s="1"/>
  <c r="DH93" i="2"/>
  <c r="G93" i="2"/>
  <c r="DC93" i="2" s="1"/>
  <c r="DA93" i="2" s="1"/>
  <c r="G36" i="2"/>
  <c r="DC36" i="2" s="1"/>
  <c r="DA36" i="2" s="1"/>
  <c r="DH36" i="2"/>
  <c r="DL36" i="2"/>
  <c r="DE36" i="2" s="1"/>
  <c r="G97" i="2"/>
  <c r="DC97" i="2" s="1"/>
  <c r="DA97" i="2" s="1"/>
  <c r="DL97" i="2"/>
  <c r="DE97" i="2" s="1"/>
  <c r="DH97" i="2"/>
  <c r="G135" i="2"/>
  <c r="DC135" i="2" s="1"/>
  <c r="DA135" i="2" s="1"/>
  <c r="DH135" i="2"/>
  <c r="DL135" i="2"/>
  <c r="DE135" i="2" s="1"/>
  <c r="G100" i="2"/>
  <c r="DC100" i="2" s="1"/>
  <c r="DA100" i="2" s="1"/>
  <c r="DL100" i="2"/>
  <c r="DE100" i="2" s="1"/>
  <c r="DH100" i="2"/>
  <c r="G70" i="2"/>
  <c r="DC70" i="2" s="1"/>
  <c r="DA70" i="2" s="1"/>
  <c r="DH70" i="2"/>
  <c r="DL70" i="2"/>
  <c r="DE70" i="2" s="1"/>
  <c r="G147" i="2"/>
  <c r="DC147" i="2" s="1"/>
  <c r="DA147" i="2" s="1"/>
  <c r="DH147" i="2"/>
  <c r="DL147" i="2"/>
  <c r="DE147" i="2" s="1"/>
  <c r="G88" i="2"/>
  <c r="DC88" i="2" s="1"/>
  <c r="DA88" i="2" s="1"/>
  <c r="DH88" i="2"/>
  <c r="DL88" i="2"/>
  <c r="DE88" i="2" s="1"/>
  <c r="DH57" i="2"/>
  <c r="DL57" i="2"/>
  <c r="DE57" i="2" s="1"/>
  <c r="G57" i="2"/>
  <c r="DC57" i="2" s="1"/>
  <c r="DA57" i="2" s="1"/>
  <c r="DH112" i="2"/>
  <c r="G112" i="2"/>
  <c r="DC112" i="2" s="1"/>
  <c r="DA112" i="2" s="1"/>
  <c r="DL112" i="2"/>
  <c r="DE112" i="2" s="1"/>
  <c r="DH145" i="2"/>
  <c r="DL145" i="2"/>
  <c r="DE145" i="2" s="1"/>
  <c r="G145" i="2"/>
  <c r="DC145" i="2" s="1"/>
  <c r="DA145" i="2" s="1"/>
  <c r="E16" i="40"/>
  <c r="AX6" i="2" s="1"/>
  <c r="E12" i="40"/>
  <c r="AX153" i="2" s="1"/>
  <c r="E8" i="40"/>
  <c r="AX131" i="2" s="1"/>
  <c r="E19" i="40"/>
  <c r="AX133" i="2" s="1"/>
  <c r="E15" i="40"/>
  <c r="AX126" i="2" s="1"/>
  <c r="E11" i="40"/>
  <c r="AX72" i="2" s="1"/>
  <c r="DH72" i="2" s="1"/>
  <c r="E17" i="40"/>
  <c r="AX139" i="2" s="1"/>
  <c r="E13" i="40"/>
  <c r="AX32" i="2" s="1"/>
  <c r="E9" i="40"/>
  <c r="AX66" i="2" s="1"/>
  <c r="G66" i="2" s="1"/>
  <c r="DC66" i="2" s="1"/>
  <c r="DA66" i="2" s="1"/>
  <c r="DK66" i="2" s="1"/>
  <c r="E18" i="40"/>
  <c r="AX119" i="2" s="1"/>
  <c r="E14" i="40"/>
  <c r="AX122" i="2" s="1"/>
  <c r="E10" i="40"/>
  <c r="AX103" i="2" s="1"/>
  <c r="F5" i="40"/>
  <c r="G146" i="2"/>
  <c r="DC146" i="2" s="1"/>
  <c r="DA146" i="2" s="1"/>
  <c r="DL146" i="2"/>
  <c r="DE146" i="2" s="1"/>
  <c r="DH146" i="2"/>
  <c r="DH14" i="2"/>
  <c r="G14" i="2"/>
  <c r="DC14" i="2" s="1"/>
  <c r="DA14" i="2" s="1"/>
  <c r="DL14" i="2"/>
  <c r="DE14" i="2" s="1"/>
  <c r="DL73" i="2"/>
  <c r="DE73" i="2" s="1"/>
  <c r="DH73" i="2"/>
  <c r="G73" i="2"/>
  <c r="DC73" i="2" s="1"/>
  <c r="DA73" i="2" s="1"/>
  <c r="DG73" i="2"/>
  <c r="DL63" i="2"/>
  <c r="DE63" i="2" s="1"/>
  <c r="DG63" i="2"/>
  <c r="DH63" i="2"/>
  <c r="G63" i="2"/>
  <c r="DC63" i="2" s="1"/>
  <c r="DA63" i="2" s="1"/>
  <c r="DK63" i="2" s="1"/>
  <c r="DH47" i="2"/>
  <c r="DL47" i="2"/>
  <c r="DE47" i="2" s="1"/>
  <c r="DG47" i="2"/>
  <c r="G47" i="2"/>
  <c r="DC47" i="2" s="1"/>
  <c r="DA47" i="2" s="1"/>
  <c r="DJ47" i="2" s="1"/>
  <c r="DG85" i="2"/>
  <c r="DL85" i="2"/>
  <c r="DE85" i="2" s="1"/>
  <c r="DH85" i="2"/>
  <c r="G85" i="2"/>
  <c r="DC85" i="2" s="1"/>
  <c r="DA85" i="2" s="1"/>
  <c r="DJ85" i="2" s="1"/>
  <c r="DG140" i="2"/>
  <c r="DL140" i="2"/>
  <c r="DE140" i="2" s="1"/>
  <c r="G140" i="2"/>
  <c r="DC140" i="2" s="1"/>
  <c r="DA140" i="2" s="1"/>
  <c r="DJ140" i="2" s="1"/>
  <c r="DH140" i="2"/>
  <c r="DL10" i="2"/>
  <c r="DE10" i="2" s="1"/>
  <c r="DG10" i="2"/>
  <c r="DH10" i="2"/>
  <c r="G10" i="2"/>
  <c r="DC10" i="2" s="1"/>
  <c r="DA10" i="2" s="1"/>
  <c r="DK10" i="2" s="1"/>
  <c r="DH110" i="2"/>
  <c r="G110" i="2"/>
  <c r="DC110" i="2" s="1"/>
  <c r="DA110" i="2" s="1"/>
  <c r="DK110" i="2" s="1"/>
  <c r="DG110" i="2"/>
  <c r="DL110" i="2"/>
  <c r="DE110" i="2" s="1"/>
  <c r="G64" i="2"/>
  <c r="DC64" i="2" s="1"/>
  <c r="DA64" i="2" s="1"/>
  <c r="DH64" i="2"/>
  <c r="DL64" i="2"/>
  <c r="DE64" i="2" s="1"/>
  <c r="DG64" i="2"/>
  <c r="DH11" i="2"/>
  <c r="DG11" i="2"/>
  <c r="G11" i="2"/>
  <c r="DC11" i="2" s="1"/>
  <c r="DA11" i="2" s="1"/>
  <c r="DJ11" i="2" s="1"/>
  <c r="DL11" i="2"/>
  <c r="DE11" i="2" s="1"/>
  <c r="DL40" i="2"/>
  <c r="DE40" i="2" s="1"/>
  <c r="DH40" i="2"/>
  <c r="G40" i="2"/>
  <c r="DC40" i="2" s="1"/>
  <c r="DA40" i="2" s="1"/>
  <c r="DJ40" i="2" s="1"/>
  <c r="DG40" i="2"/>
  <c r="DG31" i="2"/>
  <c r="DH31" i="2"/>
  <c r="G31" i="2"/>
  <c r="DC31" i="2" s="1"/>
  <c r="DA31" i="2" s="1"/>
  <c r="DJ31" i="2" s="1"/>
  <c r="DL31" i="2"/>
  <c r="DE31" i="2" s="1"/>
  <c r="DG101" i="2"/>
  <c r="DL101" i="2"/>
  <c r="DE101" i="2" s="1"/>
  <c r="G101" i="2"/>
  <c r="DC101" i="2" s="1"/>
  <c r="DA101" i="2" s="1"/>
  <c r="DJ101" i="2" s="1"/>
  <c r="DH101" i="2"/>
  <c r="DL24" i="2"/>
  <c r="DE24" i="2" s="1"/>
  <c r="DH24" i="2"/>
  <c r="G24" i="2"/>
  <c r="DC24" i="2" s="1"/>
  <c r="DA24" i="2" s="1"/>
  <c r="DJ24" i="2" s="1"/>
  <c r="DG24" i="2"/>
  <c r="DH117" i="2"/>
  <c r="DG117" i="2"/>
  <c r="DL117" i="2"/>
  <c r="DE117" i="2" s="1"/>
  <c r="G117" i="2"/>
  <c r="DC117" i="2" s="1"/>
  <c r="DA117" i="2" s="1"/>
  <c r="DK117" i="2" s="1"/>
  <c r="DH30" i="2"/>
  <c r="DL30" i="2"/>
  <c r="DE30" i="2" s="1"/>
  <c r="DG30" i="2"/>
  <c r="G30" i="2"/>
  <c r="DC30" i="2" s="1"/>
  <c r="DA30" i="2" s="1"/>
  <c r="DK30" i="2" s="1"/>
  <c r="DH143" i="2"/>
  <c r="G143" i="2"/>
  <c r="DC143" i="2" s="1"/>
  <c r="DA143" i="2" s="1"/>
  <c r="DJ143" i="2" s="1"/>
  <c r="DG143" i="2"/>
  <c r="DL143" i="2"/>
  <c r="DE143" i="2" s="1"/>
  <c r="DH79" i="2"/>
  <c r="DG79" i="2"/>
  <c r="G79" i="2"/>
  <c r="DC79" i="2" s="1"/>
  <c r="DA79" i="2" s="1"/>
  <c r="DL79" i="2"/>
  <c r="DE79" i="2" s="1"/>
  <c r="DH113" i="2"/>
  <c r="G113" i="2"/>
  <c r="DC113" i="2" s="1"/>
  <c r="DA113" i="2" s="1"/>
  <c r="DJ113" i="2" s="1"/>
  <c r="DL113" i="2"/>
  <c r="DE113" i="2" s="1"/>
  <c r="DG113" i="2"/>
  <c r="DG134" i="2"/>
  <c r="DL134" i="2"/>
  <c r="DE134" i="2" s="1"/>
  <c r="G134" i="2"/>
  <c r="DC134" i="2" s="1"/>
  <c r="DA134" i="2" s="1"/>
  <c r="DJ134" i="2" s="1"/>
  <c r="DH134" i="2"/>
  <c r="DL87" i="2"/>
  <c r="DE87" i="2" s="1"/>
  <c r="DH87" i="2"/>
  <c r="G87" i="2"/>
  <c r="DC87" i="2" s="1"/>
  <c r="DA87" i="2" s="1"/>
  <c r="DJ87" i="2" s="1"/>
  <c r="DG87" i="2"/>
  <c r="DH114" i="2"/>
  <c r="G114" i="2"/>
  <c r="DC114" i="2" s="1"/>
  <c r="DA114" i="2" s="1"/>
  <c r="DJ114" i="2" s="1"/>
  <c r="DG114" i="2"/>
  <c r="DL114" i="2"/>
  <c r="DE114" i="2" s="1"/>
  <c r="DG98" i="2"/>
  <c r="G98" i="2"/>
  <c r="DC98" i="2" s="1"/>
  <c r="DA98" i="2" s="1"/>
  <c r="DJ98" i="2" s="1"/>
  <c r="DL98" i="2"/>
  <c r="DE98" i="2" s="1"/>
  <c r="DH98" i="2"/>
  <c r="DL22" i="2"/>
  <c r="DE22" i="2" s="1"/>
  <c r="G18" i="2"/>
  <c r="DC18" i="2" s="1"/>
  <c r="DA18" i="2" s="1"/>
  <c r="DK18" i="2" s="1"/>
  <c r="DH18" i="2"/>
  <c r="DG18" i="2"/>
  <c r="DL18" i="2"/>
  <c r="DE18" i="2" s="1"/>
  <c r="DG92" i="2"/>
  <c r="DL92" i="2"/>
  <c r="DE92" i="2" s="1"/>
  <c r="DH92" i="2"/>
  <c r="G92" i="2"/>
  <c r="DC92" i="2" s="1"/>
  <c r="DA92" i="2" s="1"/>
  <c r="DJ92" i="2" s="1"/>
  <c r="G90" i="2"/>
  <c r="DC90" i="2" s="1"/>
  <c r="DA90" i="2" s="1"/>
  <c r="DK90" i="2" s="1"/>
  <c r="DL90" i="2"/>
  <c r="DE90" i="2" s="1"/>
  <c r="DH90" i="2"/>
  <c r="DG90" i="2"/>
  <c r="DG151" i="2"/>
  <c r="DL151" i="2"/>
  <c r="DE151" i="2" s="1"/>
  <c r="G151" i="2"/>
  <c r="DC151" i="2" s="1"/>
  <c r="DA151" i="2" s="1"/>
  <c r="DK151" i="2" s="1"/>
  <c r="DH151" i="2"/>
  <c r="DL35" i="2"/>
  <c r="DE35" i="2" s="1"/>
  <c r="G35" i="2"/>
  <c r="DC35" i="2" s="1"/>
  <c r="DA35" i="2" s="1"/>
  <c r="DJ35" i="2" s="1"/>
  <c r="DG35" i="2"/>
  <c r="DH35" i="2"/>
  <c r="DG27" i="2"/>
  <c r="DL27" i="2"/>
  <c r="DE27" i="2" s="1"/>
  <c r="DH27" i="2"/>
  <c r="G27" i="2"/>
  <c r="DC27" i="2" s="1"/>
  <c r="DA27" i="2" s="1"/>
  <c r="DJ27" i="2" s="1"/>
  <c r="DG102" i="2"/>
  <c r="DL102" i="2"/>
  <c r="DE102" i="2" s="1"/>
  <c r="G102" i="2"/>
  <c r="DC102" i="2" s="1"/>
  <c r="DA102" i="2" s="1"/>
  <c r="DJ102" i="2" s="1"/>
  <c r="DH102" i="2"/>
  <c r="DG82" i="2"/>
  <c r="DL82" i="2"/>
  <c r="DE82" i="2" s="1"/>
  <c r="DH82" i="2"/>
  <c r="G82" i="2"/>
  <c r="DC82" i="2" s="1"/>
  <c r="DA82" i="2" s="1"/>
  <c r="DK82" i="2" s="1"/>
  <c r="DL81" i="2"/>
  <c r="DE81" i="2" s="1"/>
  <c r="DG81" i="2"/>
  <c r="DH81" i="2"/>
  <c r="G81" i="2"/>
  <c r="DC81" i="2" s="1"/>
  <c r="DA81" i="2" s="1"/>
  <c r="DH75" i="2"/>
  <c r="DL75" i="2"/>
  <c r="DE75" i="2" s="1"/>
  <c r="DG75" i="2"/>
  <c r="G75" i="2"/>
  <c r="DC75" i="2" s="1"/>
  <c r="DA75" i="2" s="1"/>
  <c r="DL16" i="2"/>
  <c r="DE16" i="2" s="1"/>
  <c r="DF120" i="2"/>
  <c r="DH120" i="2"/>
  <c r="G120" i="2"/>
  <c r="DC120" i="2" s="1"/>
  <c r="DA120" i="2" s="1"/>
  <c r="DJ120" i="2" s="1"/>
  <c r="DG120" i="2"/>
  <c r="DG137" i="2"/>
  <c r="DF137" i="2"/>
  <c r="G137" i="2"/>
  <c r="DC137" i="2" s="1"/>
  <c r="DA137" i="2" s="1"/>
  <c r="DK137" i="2" s="1"/>
  <c r="DH137" i="2"/>
  <c r="DL137" i="2"/>
  <c r="DE137" i="2" s="1"/>
  <c r="DL142" i="2"/>
  <c r="DE142" i="2" s="1"/>
  <c r="DH142" i="2"/>
  <c r="G142" i="2"/>
  <c r="DC142" i="2" s="1"/>
  <c r="DA142" i="2" s="1"/>
  <c r="DJ142" i="2" s="1"/>
  <c r="DG142" i="2"/>
  <c r="DF142" i="2"/>
  <c r="DH29" i="2"/>
  <c r="DL29" i="2"/>
  <c r="DE29" i="2" s="1"/>
  <c r="DG29" i="2"/>
  <c r="G29" i="2"/>
  <c r="DC29" i="2" s="1"/>
  <c r="DA29" i="2" s="1"/>
  <c r="DJ29" i="2" s="1"/>
  <c r="G50" i="2"/>
  <c r="DC50" i="2" s="1"/>
  <c r="DA50" i="2" s="1"/>
  <c r="DJ50" i="2" s="1"/>
  <c r="DH50" i="2"/>
  <c r="DL50" i="2"/>
  <c r="DE50" i="2" s="1"/>
  <c r="DG50" i="2"/>
  <c r="DL118" i="2"/>
  <c r="DE118" i="2" s="1"/>
  <c r="DH118" i="2"/>
  <c r="G118" i="2"/>
  <c r="DC118" i="2" s="1"/>
  <c r="DA118" i="2" s="1"/>
  <c r="DJ118" i="2" s="1"/>
  <c r="DG118" i="2"/>
  <c r="DF118" i="2"/>
  <c r="DF138" i="2"/>
  <c r="G138" i="2"/>
  <c r="DC138" i="2" s="1"/>
  <c r="DA138" i="2" s="1"/>
  <c r="DJ138" i="2" s="1"/>
  <c r="DL138" i="2"/>
  <c r="DE138" i="2" s="1"/>
  <c r="DH138" i="2"/>
  <c r="DG138" i="2"/>
  <c r="DF65" i="2"/>
  <c r="DH65" i="2"/>
  <c r="DL65" i="2"/>
  <c r="DE65" i="2" s="1"/>
  <c r="DG65" i="2"/>
  <c r="G65" i="2"/>
  <c r="DC65" i="2" s="1"/>
  <c r="DA65" i="2" s="1"/>
  <c r="DK65" i="2" s="1"/>
  <c r="DL23" i="2"/>
  <c r="DE23" i="2" s="1"/>
  <c r="DH23" i="2"/>
  <c r="DG23" i="2"/>
  <c r="G23" i="2"/>
  <c r="DC23" i="2" s="1"/>
  <c r="DA23" i="2" s="1"/>
  <c r="DJ23" i="2" s="1"/>
  <c r="DL148" i="2"/>
  <c r="DE148" i="2" s="1"/>
  <c r="DH148" i="2"/>
  <c r="G148" i="2"/>
  <c r="DC148" i="2" s="1"/>
  <c r="DA148" i="2" s="1"/>
  <c r="DJ148" i="2" s="1"/>
  <c r="DG148" i="2"/>
  <c r="G25" i="2"/>
  <c r="DC25" i="2" s="1"/>
  <c r="DA25" i="2" s="1"/>
  <c r="DJ25" i="2" s="1"/>
  <c r="DL25" i="2"/>
  <c r="DE25" i="2" s="1"/>
  <c r="DH25" i="2"/>
  <c r="DG25" i="2"/>
  <c r="DF25" i="2"/>
  <c r="DG54" i="2"/>
  <c r="DL54" i="2"/>
  <c r="DE54" i="2" s="1"/>
  <c r="G54" i="2"/>
  <c r="DC54" i="2" s="1"/>
  <c r="DA54" i="2" s="1"/>
  <c r="DJ54" i="2" s="1"/>
  <c r="DH54" i="2"/>
  <c r="DF115" i="2"/>
  <c r="DH115" i="2"/>
  <c r="G115" i="2"/>
  <c r="DC115" i="2" s="1"/>
  <c r="DA115" i="2" s="1"/>
  <c r="DK115" i="2" s="1"/>
  <c r="DG115" i="2"/>
  <c r="DL21" i="2"/>
  <c r="DE21" i="2" s="1"/>
  <c r="DH21" i="2"/>
  <c r="G21" i="2"/>
  <c r="DC21" i="2" s="1"/>
  <c r="DA21" i="2" s="1"/>
  <c r="DJ21" i="2" s="1"/>
  <c r="DG21" i="2"/>
  <c r="DG144" i="2"/>
  <c r="G144" i="2"/>
  <c r="DC144" i="2" s="1"/>
  <c r="DA144" i="2" s="1"/>
  <c r="DJ144" i="2" s="1"/>
  <c r="DL144" i="2"/>
  <c r="DE144" i="2" s="1"/>
  <c r="DH144" i="2"/>
  <c r="DH28" i="2"/>
  <c r="DL28" i="2"/>
  <c r="DE28" i="2" s="1"/>
  <c r="DG28" i="2"/>
  <c r="G28" i="2"/>
  <c r="DC28" i="2" s="1"/>
  <c r="DA28" i="2" s="1"/>
  <c r="G16" i="2"/>
  <c r="DC16" i="2" s="1"/>
  <c r="DA16" i="2" s="1"/>
  <c r="DJ16" i="2" s="1"/>
  <c r="DH16" i="2"/>
  <c r="DG16" i="2"/>
  <c r="DF16" i="2"/>
  <c r="DH22" i="2"/>
  <c r="DG22" i="2"/>
  <c r="G22" i="2"/>
  <c r="DC22" i="2" s="1"/>
  <c r="DA22" i="2" s="1"/>
  <c r="DJ22" i="2" s="1"/>
  <c r="DF22" i="2"/>
  <c r="DL136" i="2"/>
  <c r="DE136" i="2" s="1"/>
  <c r="DH136" i="2"/>
  <c r="DG136" i="2"/>
  <c r="G136" i="2"/>
  <c r="DC136" i="2" s="1"/>
  <c r="DA136" i="2" s="1"/>
  <c r="DK136" i="2" s="1"/>
  <c r="DF66" i="2"/>
  <c r="DH66" i="2"/>
  <c r="DG66" i="2"/>
  <c r="DL141" i="2"/>
  <c r="DE141" i="2" s="1"/>
  <c r="DH141" i="2"/>
  <c r="DG141" i="2"/>
  <c r="G141" i="2"/>
  <c r="DC141" i="2" s="1"/>
  <c r="DA141" i="2" s="1"/>
  <c r="DJ141" i="2" s="1"/>
  <c r="DF141" i="2"/>
  <c r="DL26" i="2"/>
  <c r="DE26" i="2" s="1"/>
  <c r="DH26" i="2"/>
  <c r="DG26" i="2"/>
  <c r="DF26" i="2"/>
  <c r="G26" i="2"/>
  <c r="DC26" i="2" s="1"/>
  <c r="DA26" i="2" s="1"/>
  <c r="DK26" i="2" s="1"/>
  <c r="DL33" i="2"/>
  <c r="DE33" i="2" s="1"/>
  <c r="DH33" i="2"/>
  <c r="DG33" i="2"/>
  <c r="G33" i="2"/>
  <c r="DC33" i="2" s="1"/>
  <c r="DA33" i="2" s="1"/>
  <c r="DJ33" i="2" s="1"/>
  <c r="DH53" i="2"/>
  <c r="DL53" i="2"/>
  <c r="DE53" i="2" s="1"/>
  <c r="DG53" i="2"/>
  <c r="G53" i="2"/>
  <c r="DC53" i="2" s="1"/>
  <c r="DA53" i="2" s="1"/>
  <c r="F5" i="85"/>
  <c r="E8" i="27"/>
  <c r="AE44" i="2" s="1"/>
  <c r="F5" i="27"/>
  <c r="E10" i="27"/>
  <c r="AE43" i="2" s="1"/>
  <c r="E11" i="27"/>
  <c r="AE109" i="2" s="1"/>
  <c r="E9" i="27"/>
  <c r="AE45" i="2" s="1"/>
  <c r="F5" i="12"/>
  <c r="E13" i="12"/>
  <c r="R17" i="2" s="1"/>
  <c r="DF17" i="2" s="1"/>
  <c r="E14" i="12"/>
  <c r="R62" i="2" s="1"/>
  <c r="DK62" i="2" s="1"/>
  <c r="E18" i="12"/>
  <c r="R131" i="2" s="1"/>
  <c r="E16" i="12"/>
  <c r="E8" i="12"/>
  <c r="R104" i="2" s="1"/>
  <c r="E15" i="12"/>
  <c r="R123" i="2" s="1"/>
  <c r="E17" i="12"/>
  <c r="R74" i="2" s="1"/>
  <c r="G74" i="2" s="1"/>
  <c r="DC74" i="2" s="1"/>
  <c r="DA74" i="2" s="1"/>
  <c r="E10" i="94"/>
  <c r="F5" i="94"/>
  <c r="E8" i="101"/>
  <c r="E9" i="94"/>
  <c r="E12" i="101"/>
  <c r="E9" i="5"/>
  <c r="J45" i="2" s="1"/>
  <c r="E10" i="101"/>
  <c r="F5" i="101"/>
  <c r="E21" i="101"/>
  <c r="E15" i="101"/>
  <c r="E11" i="101"/>
  <c r="E18" i="101"/>
  <c r="E14" i="101"/>
  <c r="E20" i="101"/>
  <c r="E19" i="101"/>
  <c r="E13" i="101"/>
  <c r="E17" i="101"/>
  <c r="E16" i="101"/>
  <c r="E9" i="101"/>
  <c r="F5" i="5"/>
  <c r="E10" i="12"/>
  <c r="R60" i="2" s="1"/>
  <c r="DH60" i="2" s="1"/>
  <c r="E10" i="85"/>
  <c r="AA104" i="2" s="1"/>
  <c r="E9" i="85"/>
  <c r="AA109" i="2" s="1"/>
  <c r="E11" i="85"/>
  <c r="AA84" i="2" s="1"/>
  <c r="E8" i="85"/>
  <c r="AA43" i="2" s="1"/>
  <c r="E12" i="12"/>
  <c r="E11" i="86"/>
  <c r="X84" i="2" s="1"/>
  <c r="E9" i="12"/>
  <c r="R41" i="2" s="1"/>
  <c r="DG41" i="2" s="1"/>
  <c r="E11" i="12"/>
  <c r="R46" i="2" s="1"/>
  <c r="DL46" i="2" s="1"/>
  <c r="DE46" i="2" s="1"/>
  <c r="E8" i="8"/>
  <c r="N44" i="2" s="1"/>
  <c r="E9" i="8"/>
  <c r="N43" i="2" s="1"/>
  <c r="E10" i="8"/>
  <c r="N45" i="2" s="1"/>
  <c r="F5" i="86"/>
  <c r="E8" i="86"/>
  <c r="X43" i="2" s="1"/>
  <c r="E10" i="86"/>
  <c r="X104" i="2" s="1"/>
  <c r="E9" i="86"/>
  <c r="X109" i="2" s="1"/>
  <c r="DF109" i="2" s="1"/>
  <c r="E8" i="5"/>
  <c r="J44" i="2" s="1"/>
  <c r="F5" i="6"/>
  <c r="E10" i="6"/>
  <c r="K43" i="2" s="1"/>
  <c r="E8" i="6"/>
  <c r="K44" i="2" s="1"/>
  <c r="E9" i="6"/>
  <c r="K45" i="2" s="1"/>
  <c r="DL5" i="2"/>
  <c r="DH5" i="2"/>
  <c r="G5" i="2"/>
  <c r="DC5" i="2" s="1"/>
  <c r="DH9" i="2"/>
  <c r="DL9" i="2"/>
  <c r="G9" i="2"/>
  <c r="DC9" i="2" s="1"/>
  <c r="DA9" i="2" s="1"/>
  <c r="DJ9" i="2" s="1"/>
  <c r="DG9" i="2"/>
  <c r="DJ162" i="2" l="1"/>
  <c r="DK162" i="2"/>
  <c r="DK13" i="2"/>
  <c r="DJ13" i="2"/>
  <c r="DK69" i="2"/>
  <c r="DJ69" i="2"/>
  <c r="DJ150" i="2"/>
  <c r="DK150" i="2"/>
  <c r="DJ161" i="2"/>
  <c r="DK161" i="2"/>
  <c r="DK160" i="2"/>
  <c r="DJ160" i="2"/>
  <c r="DJ157" i="2"/>
  <c r="DK157" i="2"/>
  <c r="DK159" i="2"/>
  <c r="DJ159" i="2"/>
  <c r="DJ158" i="2"/>
  <c r="DK158" i="2"/>
  <c r="DK156" i="2"/>
  <c r="DJ156" i="2"/>
  <c r="DK95" i="2"/>
  <c r="DJ95" i="2"/>
  <c r="DK42" i="2"/>
  <c r="DJ42" i="2"/>
  <c r="DK49" i="2"/>
  <c r="DJ49" i="2"/>
  <c r="DJ121" i="2"/>
  <c r="DK121" i="2"/>
  <c r="DK93" i="2"/>
  <c r="DJ93" i="2"/>
  <c r="DK4" i="2"/>
  <c r="DJ4" i="2"/>
  <c r="DJ94" i="2"/>
  <c r="DK94" i="2"/>
  <c r="DJ155" i="2"/>
  <c r="DK155" i="2"/>
  <c r="DK78" i="2"/>
  <c r="DJ78" i="2"/>
  <c r="DJ76" i="2"/>
  <c r="DK76" i="2"/>
  <c r="DK154" i="2"/>
  <c r="DJ154" i="2"/>
  <c r="DK107" i="2"/>
  <c r="DJ107" i="2"/>
  <c r="DK71" i="2"/>
  <c r="DJ71" i="2"/>
  <c r="DK97" i="2"/>
  <c r="DJ97" i="2"/>
  <c r="DJ135" i="2"/>
  <c r="DK135" i="2"/>
  <c r="DJ100" i="2"/>
  <c r="DK100" i="2"/>
  <c r="DK70" i="2"/>
  <c r="DJ70" i="2"/>
  <c r="DJ36" i="2"/>
  <c r="DK36" i="2"/>
  <c r="DL66" i="2"/>
  <c r="DE66" i="2" s="1"/>
  <c r="DJ147" i="2"/>
  <c r="DK147" i="2"/>
  <c r="G72" i="2"/>
  <c r="DC72" i="2" s="1"/>
  <c r="DA72" i="2" s="1"/>
  <c r="DK72" i="2" s="1"/>
  <c r="G131" i="2"/>
  <c r="DC131" i="2" s="1"/>
  <c r="DA131" i="2" s="1"/>
  <c r="DJ131" i="2" s="1"/>
  <c r="DL72" i="2"/>
  <c r="DE72" i="2" s="1"/>
  <c r="DK88" i="2"/>
  <c r="DJ88" i="2"/>
  <c r="DH103" i="2"/>
  <c r="G103" i="2"/>
  <c r="DC103" i="2" s="1"/>
  <c r="DA103" i="2" s="1"/>
  <c r="DL103" i="2"/>
  <c r="DE103" i="2" s="1"/>
  <c r="DH32" i="2"/>
  <c r="DL32" i="2"/>
  <c r="DE32" i="2" s="1"/>
  <c r="G32" i="2"/>
  <c r="DC32" i="2" s="1"/>
  <c r="DA32" i="2" s="1"/>
  <c r="DH133" i="2"/>
  <c r="DL133" i="2"/>
  <c r="DE133" i="2" s="1"/>
  <c r="G133" i="2"/>
  <c r="DC133" i="2" s="1"/>
  <c r="DA133" i="2" s="1"/>
  <c r="DJ145" i="2"/>
  <c r="DK145" i="2"/>
  <c r="G122" i="2"/>
  <c r="DC122" i="2" s="1"/>
  <c r="DA122" i="2" s="1"/>
  <c r="DL122" i="2"/>
  <c r="DE122" i="2" s="1"/>
  <c r="DH122" i="2"/>
  <c r="DH139" i="2"/>
  <c r="G139" i="2"/>
  <c r="DC139" i="2" s="1"/>
  <c r="DA139" i="2" s="1"/>
  <c r="DL139" i="2"/>
  <c r="DE139" i="2" s="1"/>
  <c r="DK57" i="2"/>
  <c r="DJ57" i="2"/>
  <c r="G119" i="2"/>
  <c r="DC119" i="2" s="1"/>
  <c r="DA119" i="2" s="1"/>
  <c r="DL119" i="2"/>
  <c r="DE119" i="2" s="1"/>
  <c r="DH119" i="2"/>
  <c r="DL153" i="2"/>
  <c r="DE153" i="2" s="1"/>
  <c r="G153" i="2"/>
  <c r="DC153" i="2" s="1"/>
  <c r="DA153" i="2" s="1"/>
  <c r="DH153" i="2"/>
  <c r="G126" i="2"/>
  <c r="DC126" i="2" s="1"/>
  <c r="DA126" i="2" s="1"/>
  <c r="DH126" i="2"/>
  <c r="DL126" i="2"/>
  <c r="DE126" i="2" s="1"/>
  <c r="DH6" i="2"/>
  <c r="DL6" i="2"/>
  <c r="DE6" i="2" s="1"/>
  <c r="G6" i="2"/>
  <c r="DC6" i="2" s="1"/>
  <c r="DA6" i="2" s="1"/>
  <c r="DK112" i="2"/>
  <c r="DJ112" i="2"/>
  <c r="DK43" i="2"/>
  <c r="DK146" i="2"/>
  <c r="DJ146" i="2"/>
  <c r="DK84" i="2"/>
  <c r="DK14" i="2"/>
  <c r="DJ14" i="2"/>
  <c r="DK104" i="2"/>
  <c r="DK143" i="2"/>
  <c r="DK50" i="2"/>
  <c r="DK144" i="2"/>
  <c r="DK21" i="2"/>
  <c r="DK98" i="2"/>
  <c r="DK54" i="2"/>
  <c r="DK27" i="2"/>
  <c r="DK92" i="2"/>
  <c r="DK17" i="2"/>
  <c r="DK44" i="2"/>
  <c r="DK29" i="2"/>
  <c r="DK74" i="2"/>
  <c r="DK31" i="2"/>
  <c r="DK141" i="2"/>
  <c r="DK22" i="2"/>
  <c r="DK47" i="2"/>
  <c r="DK9" i="2"/>
  <c r="DK35" i="2"/>
  <c r="DK148" i="2"/>
  <c r="DK134" i="2"/>
  <c r="DK142" i="2"/>
  <c r="DK120" i="2"/>
  <c r="DK73" i="2"/>
  <c r="DJ73" i="2"/>
  <c r="DK40" i="2"/>
  <c r="DK140" i="2"/>
  <c r="DK46" i="2"/>
  <c r="DK85" i="2"/>
  <c r="DK114" i="2"/>
  <c r="DK25" i="2"/>
  <c r="DK118" i="2"/>
  <c r="DK23" i="2"/>
  <c r="DK45" i="2"/>
  <c r="DK113" i="2"/>
  <c r="DK24" i="2"/>
  <c r="DK11" i="2"/>
  <c r="DK33" i="2"/>
  <c r="DK109" i="2"/>
  <c r="DK101" i="2"/>
  <c r="DK87" i="2"/>
  <c r="DK102" i="2"/>
  <c r="DK138" i="2"/>
  <c r="DK16" i="2"/>
  <c r="DJ79" i="2"/>
  <c r="DK79" i="2"/>
  <c r="DJ75" i="2"/>
  <c r="DK75" i="2"/>
  <c r="DJ81" i="2"/>
  <c r="DK81" i="2"/>
  <c r="DJ64" i="2"/>
  <c r="DK64" i="2"/>
  <c r="DJ28" i="2"/>
  <c r="DK28" i="2"/>
  <c r="DJ53" i="2"/>
  <c r="DK53" i="2"/>
  <c r="DJ63" i="2"/>
  <c r="DJ90" i="2"/>
  <c r="DJ10" i="2"/>
  <c r="DJ18" i="2"/>
  <c r="DJ82" i="2"/>
  <c r="DJ151" i="2"/>
  <c r="DJ30" i="2"/>
  <c r="DJ117" i="2"/>
  <c r="DJ110" i="2"/>
  <c r="DH43" i="2"/>
  <c r="DJ26" i="2"/>
  <c r="DJ66" i="2"/>
  <c r="DG46" i="2"/>
  <c r="DH41" i="2"/>
  <c r="G62" i="2"/>
  <c r="DC62" i="2" s="1"/>
  <c r="DA62" i="2" s="1"/>
  <c r="DH62" i="2"/>
  <c r="DG131" i="2"/>
  <c r="DF131" i="2"/>
  <c r="DL109" i="2"/>
  <c r="DE109" i="2" s="1"/>
  <c r="DJ65" i="2"/>
  <c r="DG17" i="2"/>
  <c r="G60" i="2"/>
  <c r="DC60" i="2" s="1"/>
  <c r="DA60" i="2" s="1"/>
  <c r="DG60" i="2"/>
  <c r="DG43" i="2"/>
  <c r="DL43" i="2"/>
  <c r="DE43" i="2" s="1"/>
  <c r="DG84" i="2"/>
  <c r="G84" i="2"/>
  <c r="DC84" i="2" s="1"/>
  <c r="DA84" i="2" s="1"/>
  <c r="DJ84" i="2" s="1"/>
  <c r="DJ74" i="2"/>
  <c r="DG74" i="2"/>
  <c r="DL123" i="2"/>
  <c r="DE123" i="2" s="1"/>
  <c r="DH123" i="2"/>
  <c r="DG123" i="2"/>
  <c r="DF123" i="2"/>
  <c r="G123" i="2"/>
  <c r="DC123" i="2" s="1"/>
  <c r="DA123" i="2" s="1"/>
  <c r="DK123" i="2" s="1"/>
  <c r="DL45" i="2"/>
  <c r="DE45" i="2" s="1"/>
  <c r="DH45" i="2"/>
  <c r="G45" i="2"/>
  <c r="DC45" i="2" s="1"/>
  <c r="DA45" i="2" s="1"/>
  <c r="DJ45" i="2" s="1"/>
  <c r="DG45" i="2"/>
  <c r="DF45" i="2"/>
  <c r="DJ46" i="2"/>
  <c r="G46" i="2"/>
  <c r="DC46" i="2" s="1"/>
  <c r="DA46" i="2" s="1"/>
  <c r="DF41" i="2"/>
  <c r="DL41" i="2"/>
  <c r="DE41" i="2" s="1"/>
  <c r="DF62" i="2"/>
  <c r="DL62" i="2"/>
  <c r="DE62" i="2" s="1"/>
  <c r="DH131" i="2"/>
  <c r="DH109" i="2"/>
  <c r="DH104" i="2"/>
  <c r="G104" i="2"/>
  <c r="DC104" i="2" s="1"/>
  <c r="DA104" i="2" s="1"/>
  <c r="DJ104" i="2" s="1"/>
  <c r="G17" i="2"/>
  <c r="DC17" i="2" s="1"/>
  <c r="DA17" i="2" s="1"/>
  <c r="DJ17" i="2" s="1"/>
  <c r="DH17" i="2"/>
  <c r="DF60" i="2"/>
  <c r="DJ137" i="2"/>
  <c r="DH84" i="2"/>
  <c r="DF74" i="2"/>
  <c r="DG44" i="2"/>
  <c r="DF44" i="2"/>
  <c r="G44" i="2"/>
  <c r="DC44" i="2" s="1"/>
  <c r="DA44" i="2" s="1"/>
  <c r="DJ44" i="2" s="1"/>
  <c r="DH44" i="2"/>
  <c r="DL44" i="2"/>
  <c r="DE44" i="2" s="1"/>
  <c r="DF46" i="2"/>
  <c r="DH46" i="2"/>
  <c r="G41" i="2"/>
  <c r="DC41" i="2" s="1"/>
  <c r="DA41" i="2" s="1"/>
  <c r="DK41" i="2" s="1"/>
  <c r="DG62" i="2"/>
  <c r="DJ115" i="2"/>
  <c r="DL131" i="2"/>
  <c r="DE131" i="2" s="1"/>
  <c r="G109" i="2"/>
  <c r="DC109" i="2" s="1"/>
  <c r="DA109" i="2" s="1"/>
  <c r="DJ109" i="2" s="1"/>
  <c r="DL104" i="2"/>
  <c r="DE104" i="2" s="1"/>
  <c r="DG104" i="2"/>
  <c r="DL17" i="2"/>
  <c r="DE17" i="2" s="1"/>
  <c r="DL60" i="2"/>
  <c r="DE60" i="2" s="1"/>
  <c r="G43" i="2"/>
  <c r="DC43" i="2" s="1"/>
  <c r="DA43" i="2" s="1"/>
  <c r="DJ43" i="2" s="1"/>
  <c r="DF84" i="2"/>
  <c r="DL84" i="2"/>
  <c r="DE84" i="2" s="1"/>
  <c r="DL74" i="2"/>
  <c r="DE74" i="2" s="1"/>
  <c r="DJ62" i="2"/>
  <c r="DG109" i="2"/>
  <c r="DF104" i="2"/>
  <c r="DF43" i="2"/>
  <c r="DH74" i="2"/>
  <c r="G7" i="2"/>
  <c r="DC7" i="2" s="1"/>
  <c r="DA7" i="2" s="1"/>
  <c r="DH7" i="2"/>
  <c r="DL7" i="2"/>
  <c r="G8" i="2"/>
  <c r="DC8" i="2" s="1"/>
  <c r="DA8" i="2" s="1"/>
  <c r="DK8" i="2" s="1"/>
  <c r="DH8" i="2"/>
  <c r="DG8" i="2"/>
  <c r="DL8" i="2"/>
  <c r="DF8" i="2"/>
  <c r="DE9" i="2"/>
  <c r="DA5" i="2"/>
  <c r="DK5" i="2" s="1"/>
  <c r="DE5" i="2"/>
  <c r="DJ72" i="2" l="1"/>
  <c r="DK131" i="2"/>
  <c r="DK126" i="2"/>
  <c r="DJ126" i="2"/>
  <c r="DK153" i="2"/>
  <c r="DJ153" i="2"/>
  <c r="DK119" i="2"/>
  <c r="DJ119" i="2"/>
  <c r="DJ139" i="2"/>
  <c r="DK139" i="2"/>
  <c r="DK122" i="2"/>
  <c r="DJ122" i="2"/>
  <c r="DK32" i="2"/>
  <c r="DJ32" i="2"/>
  <c r="DK103" i="2"/>
  <c r="DJ103" i="2"/>
  <c r="DJ6" i="2"/>
  <c r="DK6" i="2"/>
  <c r="DJ133" i="2"/>
  <c r="DK133" i="2"/>
  <c r="DJ7" i="2"/>
  <c r="DK7" i="2"/>
  <c r="DJ60" i="2"/>
  <c r="DK60" i="2"/>
  <c r="DJ123" i="2"/>
  <c r="DJ41" i="2"/>
  <c r="DJ5" i="2"/>
  <c r="DJ8" i="2"/>
  <c r="DE7" i="2"/>
  <c r="DE8" i="2"/>
</calcChain>
</file>

<file path=xl/sharedStrings.xml><?xml version="1.0" encoding="utf-8"?>
<sst xmlns="http://schemas.openxmlformats.org/spreadsheetml/2006/main" count="3544" uniqueCount="522">
  <si>
    <t>Senior/Junior Women</t>
  </si>
  <si>
    <t>Class</t>
  </si>
  <si>
    <t>Rank</t>
  </si>
  <si>
    <t>Name</t>
  </si>
  <si>
    <t>Update</t>
  </si>
  <si>
    <t>Sr</t>
  </si>
  <si>
    <t>Jr</t>
  </si>
  <si>
    <t>Number</t>
  </si>
  <si>
    <t>Races</t>
  </si>
  <si>
    <t>Fall Points</t>
  </si>
  <si>
    <t>RACE</t>
  </si>
  <si>
    <t>DATE</t>
  </si>
  <si>
    <t>Type</t>
  </si>
  <si>
    <t>Women</t>
  </si>
  <si>
    <t>Location</t>
  </si>
  <si>
    <t xml:space="preserve"> </t>
  </si>
  <si>
    <t>Time</t>
  </si>
  <si>
    <t>Ath Pts</t>
  </si>
  <si>
    <t>Comp Pts</t>
  </si>
  <si>
    <t>Sprint</t>
  </si>
  <si>
    <t>Race Name</t>
  </si>
  <si>
    <t>Last, First</t>
  </si>
  <si>
    <t>Individual</t>
  </si>
  <si>
    <t>Youth Women</t>
  </si>
  <si>
    <t>Junior Women</t>
  </si>
  <si>
    <t>Pursuit</t>
  </si>
  <si>
    <t>Average</t>
  </si>
  <si>
    <t>Member</t>
  </si>
  <si>
    <t>Race Base</t>
  </si>
  <si>
    <t>State</t>
  </si>
  <si>
    <t>AK</t>
  </si>
  <si>
    <t>MN</t>
  </si>
  <si>
    <t>VT</t>
  </si>
  <si>
    <t>ME</t>
  </si>
  <si>
    <t>NY</t>
  </si>
  <si>
    <t>WY</t>
  </si>
  <si>
    <t>WA</t>
  </si>
  <si>
    <t>CO</t>
  </si>
  <si>
    <t>Adjusted</t>
  </si>
  <si>
    <t>NH</t>
  </si>
  <si>
    <t>Total</t>
  </si>
  <si>
    <t>MT</t>
  </si>
  <si>
    <t>OH</t>
  </si>
  <si>
    <t>UT</t>
  </si>
  <si>
    <t>Mass Start</t>
  </si>
  <si>
    <t>Current</t>
  </si>
  <si>
    <t>Jericho, VT</t>
  </si>
  <si>
    <t>Blanke, Barbara</t>
  </si>
  <si>
    <t>CA</t>
  </si>
  <si>
    <t>ID</t>
  </si>
  <si>
    <t>OR</t>
  </si>
  <si>
    <t>WI</t>
  </si>
  <si>
    <t>Adusted</t>
  </si>
  <si>
    <t>Studebaker, Sara</t>
  </si>
  <si>
    <t>Chamberlain, BethAnn</t>
  </si>
  <si>
    <t>Howe, Katrina</t>
  </si>
  <si>
    <t>Jr/Sr Women</t>
  </si>
  <si>
    <t>Junior/Senior Women</t>
  </si>
  <si>
    <t>Dunklee, Susan</t>
  </si>
  <si>
    <t>Final</t>
  </si>
  <si>
    <t>SD</t>
  </si>
  <si>
    <t>Calc</t>
  </si>
  <si>
    <t>Hynes, Silke</t>
  </si>
  <si>
    <t>Selby, Lori</t>
  </si>
  <si>
    <t>Arnold, Sabine</t>
  </si>
  <si>
    <t>Wilbert, Sibylle</t>
  </si>
  <si>
    <t>Black, Bryn</t>
  </si>
  <si>
    <t>Abraham, Jenny</t>
  </si>
  <si>
    <t>Finish</t>
  </si>
  <si>
    <t>Start</t>
  </si>
  <si>
    <t>Actual</t>
  </si>
  <si>
    <t>West Yellowstone, MT</t>
  </si>
  <si>
    <t>Kubek, Anna</t>
  </si>
  <si>
    <t>Jr Women</t>
  </si>
  <si>
    <t>Saucy, Hilary</t>
  </si>
  <si>
    <t>Geraghty-Moats, Tara</t>
  </si>
  <si>
    <t>Pursuit Format</t>
  </si>
  <si>
    <t>MO</t>
  </si>
  <si>
    <t>Broughton, Abby</t>
  </si>
  <si>
    <t>Youth/Master Women</t>
  </si>
  <si>
    <t>Ranking by State</t>
  </si>
  <si>
    <t>Total Juniors</t>
  </si>
  <si>
    <t>ABRAHAM, Jenny</t>
  </si>
  <si>
    <t>ARNOLD, Sabine</t>
  </si>
  <si>
    <t>Methow Valley, WA</t>
  </si>
  <si>
    <t>BROUGHTON, Abelyn</t>
  </si>
  <si>
    <t>DELFRATE, Kimberly</t>
  </si>
  <si>
    <t>BAKKER, Kaitlin</t>
  </si>
  <si>
    <t>PALUSZEK, Mikaela</t>
  </si>
  <si>
    <t>ELLINGSON, Sienna</t>
  </si>
  <si>
    <t>RUZICH, Jenna</t>
  </si>
  <si>
    <t>JEHLE, Anne</t>
  </si>
  <si>
    <t>PUTNAM, Elise</t>
  </si>
  <si>
    <t>DI SILVESTRI, Angelica</t>
  </si>
  <si>
    <t>BLACK, Bryn</t>
  </si>
  <si>
    <t>SHEPPARD, SJ</t>
  </si>
  <si>
    <t>PIKE, Elizabeth</t>
  </si>
  <si>
    <t>Khanty Mansiysk, RUS</t>
  </si>
  <si>
    <t>COGAN, Britt</t>
  </si>
  <si>
    <t>SPECTOR, Laura</t>
  </si>
  <si>
    <t>MALCOLM, Corrine</t>
  </si>
  <si>
    <t>COOK, Annelies</t>
  </si>
  <si>
    <t>FRISBIE, Danika</t>
  </si>
  <si>
    <t>HYNES, Silke</t>
  </si>
  <si>
    <t>SELBY, Lori</t>
  </si>
  <si>
    <t>DRAKE, Brenda</t>
  </si>
  <si>
    <t>DELFRATE, Amanda</t>
  </si>
  <si>
    <t>Valcartier, CAN</t>
  </si>
  <si>
    <t>White, Jenna</t>
  </si>
  <si>
    <t>Bates, Elizabeth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</si>
  <si>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</si>
  <si>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</si>
  <si>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</si>
  <si>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</si>
  <si>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</si>
  <si>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</si>
  <si>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</si>
  <si>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</si>
  <si>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</si>
  <si>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</si>
  <si>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</si>
  <si>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</si>
  <si>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</si>
  <si>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</si>
  <si>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</si>
  <si>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</si>
  <si>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</si>
  <si>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</si>
  <si>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</si>
  <si>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</si>
  <si>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</si>
  <si>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</si>
  <si>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</si>
  <si>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</si>
  <si>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</si>
  <si>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</si>
  <si>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</si>
  <si>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</si>
  <si>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</si>
  <si>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</si>
  <si>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Race 31</t>
  </si>
  <si>
    <t>Race 32</t>
  </si>
  <si>
    <t>Race 33</t>
  </si>
  <si>
    <t>Race 34</t>
  </si>
  <si>
    <t>Race 35</t>
  </si>
  <si>
    <t>Race 36</t>
  </si>
  <si>
    <t>Race 37</t>
  </si>
  <si>
    <t>Race 38</t>
  </si>
  <si>
    <t>Race 39</t>
  </si>
  <si>
    <t>Race 40</t>
  </si>
  <si>
    <t>Race 41</t>
  </si>
  <si>
    <t>Race 42</t>
  </si>
  <si>
    <t>Race 43</t>
  </si>
  <si>
    <t>Race 44</t>
  </si>
  <si>
    <t>Race 45</t>
  </si>
  <si>
    <t>Race 46</t>
  </si>
  <si>
    <t>Race 47</t>
  </si>
  <si>
    <t>Race 48</t>
  </si>
  <si>
    <t>Race 49</t>
  </si>
  <si>
    <t>Race 50</t>
  </si>
  <si>
    <t>Race 51</t>
  </si>
  <si>
    <t>Race 52</t>
  </si>
  <si>
    <t>Race 53</t>
  </si>
  <si>
    <t>Race 54</t>
  </si>
  <si>
    <t>Race 55</t>
  </si>
  <si>
    <t>Race 56</t>
  </si>
  <si>
    <t>Race 57</t>
  </si>
  <si>
    <t>Race 58</t>
  </si>
  <si>
    <t>Race 59</t>
  </si>
  <si>
    <t>Race 60</t>
  </si>
  <si>
    <t>Race 61</t>
  </si>
  <si>
    <t>Race 62</t>
  </si>
  <si>
    <t>Race 63</t>
  </si>
  <si>
    <t>Race 64</t>
  </si>
  <si>
    <t>Race 65</t>
  </si>
  <si>
    <t>Race 66</t>
  </si>
  <si>
    <t>Race 67</t>
  </si>
  <si>
    <t>Race 68</t>
  </si>
  <si>
    <t>Race 69</t>
  </si>
  <si>
    <t>Race 70</t>
  </si>
  <si>
    <t>Race 71</t>
  </si>
  <si>
    <t>Race 72</t>
  </si>
  <si>
    <t>Race 73</t>
  </si>
  <si>
    <t>Race 74</t>
  </si>
  <si>
    <t>Race 75</t>
  </si>
  <si>
    <t>Race 76</t>
  </si>
  <si>
    <t>Race 77</t>
  </si>
  <si>
    <t>Race 78</t>
  </si>
  <si>
    <t>Race 79</t>
  </si>
  <si>
    <t>Race 80</t>
  </si>
  <si>
    <t>Race 81</t>
  </si>
  <si>
    <t>Race 82</t>
  </si>
  <si>
    <t>Race 83</t>
  </si>
  <si>
    <t>Race 84</t>
  </si>
  <si>
    <t>Race 85</t>
  </si>
  <si>
    <t>Race 86</t>
  </si>
  <si>
    <t>Race 87</t>
  </si>
  <si>
    <t>Race 88</t>
  </si>
  <si>
    <t>Race 89</t>
  </si>
  <si>
    <t>Race 90</t>
  </si>
  <si>
    <t>Race 91</t>
  </si>
  <si>
    <t>Race 92</t>
  </si>
  <si>
    <t>Race 93</t>
  </si>
  <si>
    <t>Race 94</t>
  </si>
  <si>
    <t>Race 95</t>
  </si>
  <si>
    <t>Race Title</t>
  </si>
  <si>
    <t>Race Identifier</t>
  </si>
  <si>
    <t>Raw</t>
  </si>
  <si>
    <t>Number of Races</t>
  </si>
  <si>
    <t>of</t>
  </si>
  <si>
    <t>as of</t>
  </si>
  <si>
    <t xml:space="preserve">as of </t>
  </si>
  <si>
    <t xml:space="preserve">Fall </t>
  </si>
  <si>
    <t>Points</t>
  </si>
  <si>
    <t>Östersund, SWE</t>
  </si>
  <si>
    <t>Dickinson, Kelsey</t>
  </si>
  <si>
    <t>Phaneuf, Madeleine</t>
  </si>
  <si>
    <t xml:space="preserve">of </t>
  </si>
  <si>
    <t>Frittelli, Gabriella</t>
  </si>
  <si>
    <t>Wuest, Pamela</t>
  </si>
  <si>
    <t>Winkfein, Laura</t>
  </si>
  <si>
    <t>Egan, Clare</t>
  </si>
  <si>
    <t>Streinz, Hannah</t>
  </si>
  <si>
    <t>Guthrie, Hanne</t>
  </si>
  <si>
    <t>Puro, Tylene</t>
  </si>
  <si>
    <t>Gruner, Katherine</t>
  </si>
  <si>
    <t>Garner, Rylie</t>
  </si>
  <si>
    <t>Kautzer, Amanda</t>
  </si>
  <si>
    <t>Levins, Chloe</t>
  </si>
  <si>
    <t>Weber, Lauren</t>
  </si>
  <si>
    <t>Anderson, Ashley</t>
  </si>
  <si>
    <t>Ellingson, Siena</t>
  </si>
  <si>
    <t>Valera, Shannon</t>
  </si>
  <si>
    <t>Oslo, NOR</t>
  </si>
  <si>
    <t>Steven Pass, WA</t>
  </si>
  <si>
    <t>Porteous, Grete</t>
  </si>
  <si>
    <t>Stevens Pass, WA</t>
  </si>
  <si>
    <t>Jackson, Gina</t>
  </si>
  <si>
    <t>Mussey, Carrie</t>
  </si>
  <si>
    <t>Holmes, Eli</t>
  </si>
  <si>
    <t>Junior</t>
  </si>
  <si>
    <t>Mt. Itasca, MN</t>
  </si>
  <si>
    <t>Gilliland, Grace</t>
  </si>
  <si>
    <t>Stertz, Emma</t>
  </si>
  <si>
    <t>Nagel, Jordan</t>
  </si>
  <si>
    <t>Wilson, Helen</t>
  </si>
  <si>
    <t>2015Pts</t>
  </si>
  <si>
    <t>Dreissigacker, Emily</t>
  </si>
  <si>
    <t>DREISSIGACKER, Emily</t>
  </si>
  <si>
    <t>Reid, Joanne</t>
  </si>
  <si>
    <t>Brown, Halcyon</t>
  </si>
  <si>
    <t>Thomas, Eliza</t>
  </si>
  <si>
    <t>Woods, Ariana</t>
  </si>
  <si>
    <t>Beaulieu, Sarah</t>
  </si>
  <si>
    <t>Trowbridge, Bianca</t>
  </si>
  <si>
    <t>Conger, Mallory</t>
  </si>
  <si>
    <t>Hobbs, Emelyne</t>
  </si>
  <si>
    <t>Bellisle, Martha</t>
  </si>
  <si>
    <t>Colvard, Kathleen</t>
  </si>
  <si>
    <t>Grossman, Hallie</t>
  </si>
  <si>
    <t>THIESCHAFER, SHAWNA</t>
  </si>
  <si>
    <t>RICH, TRISH</t>
  </si>
  <si>
    <t>SWINGHOLM, ERIN</t>
  </si>
  <si>
    <t>WANGEMAN, LESLIE</t>
  </si>
  <si>
    <t>Kontiolahti, FIN</t>
  </si>
  <si>
    <t>2016Pts</t>
  </si>
  <si>
    <t>WC 1</t>
  </si>
  <si>
    <t>Madigan, Lexie</t>
  </si>
  <si>
    <t>Armstrong, Nina</t>
  </si>
  <si>
    <t>Daniels, Alyeska</t>
  </si>
  <si>
    <t>Oberhof, GER</t>
  </si>
  <si>
    <t>Ruhpolding, GER</t>
  </si>
  <si>
    <t>BLANKE, Barbara</t>
  </si>
  <si>
    <t>SCORESBY, Rachel</t>
  </si>
  <si>
    <t>TURNER, Jamie</t>
  </si>
  <si>
    <t>MILLER, Samantha</t>
  </si>
  <si>
    <t>DELLINGER, Chelsee</t>
  </si>
  <si>
    <t>FRELSI, Brenda</t>
  </si>
  <si>
    <t>BOGDEN, Michelle</t>
  </si>
  <si>
    <t>O'BRIEN, Seriena</t>
  </si>
  <si>
    <t>JENNESS, Rebecca</t>
  </si>
  <si>
    <t>GRAVES, Janet</t>
  </si>
  <si>
    <t>RENNER, Lisa</t>
  </si>
  <si>
    <t>Antholz, ITA</t>
  </si>
  <si>
    <t>Osrblie, SVK</t>
  </si>
  <si>
    <t>Hochflizen, AUT</t>
  </si>
  <si>
    <t>Miller, Kaitlynn</t>
  </si>
  <si>
    <t>MacGillivary, Jennifer</t>
  </si>
  <si>
    <t>Boynton, Elizabeth</t>
  </si>
  <si>
    <t>Behr, Caitlin</t>
  </si>
  <si>
    <t>Franceschi, Tori</t>
  </si>
  <si>
    <t xml:space="preserve">Tolbert-Bravo, Victoria </t>
  </si>
  <si>
    <t>Carbaugh, Arica</t>
  </si>
  <si>
    <t>RI</t>
  </si>
  <si>
    <t>Galvin, Heather</t>
  </si>
  <si>
    <t>Lake Placid, NY</t>
  </si>
  <si>
    <t>Pyeongchang, KOR</t>
  </si>
  <si>
    <t>Bierman, Marika</t>
  </si>
  <si>
    <t>Miller, Samantha</t>
  </si>
  <si>
    <t>Dellinger, Chelsee</t>
  </si>
  <si>
    <t>Doucette, Rebecca</t>
  </si>
  <si>
    <t xml:space="preserve">Bean, Danielle </t>
  </si>
  <si>
    <t>Roberts, Lisa</t>
  </si>
  <si>
    <t>Nolan, Ashley</t>
  </si>
  <si>
    <t>Bogden, Michelle</t>
  </si>
  <si>
    <t>Moryl, Kathryn</t>
  </si>
  <si>
    <t xml:space="preserve">Bishop, Francie </t>
  </si>
  <si>
    <t>Birdsall, Ashley</t>
  </si>
  <si>
    <t>Dalquist, Corrina</t>
  </si>
  <si>
    <t>Sheppard, SJ</t>
  </si>
  <si>
    <t>Anderson, Rebecca</t>
  </si>
  <si>
    <t>Hernandez, Naomi</t>
  </si>
  <si>
    <t>Holan, Lisa</t>
  </si>
  <si>
    <t>2016 Pts</t>
  </si>
  <si>
    <t>2017 Pts</t>
  </si>
  <si>
    <t>WILBERT, Sibylle</t>
  </si>
  <si>
    <t>COLVARD, Kathleen</t>
  </si>
  <si>
    <t>SPNC, WA</t>
  </si>
  <si>
    <t>BELLISLE, Martha</t>
  </si>
  <si>
    <t>PORTEOUS, Grete</t>
  </si>
  <si>
    <t>GALVIN, Heather</t>
  </si>
  <si>
    <t>Truckee, CA</t>
  </si>
  <si>
    <t>Lang-Ree, Jen</t>
  </si>
  <si>
    <t>Peer, Carolyn</t>
  </si>
  <si>
    <t>Samoska, Lorene</t>
  </si>
  <si>
    <t>Schwensow, Teri-Ann</t>
  </si>
  <si>
    <t>1 Jan 18</t>
  </si>
  <si>
    <t>2 Feb 18</t>
  </si>
  <si>
    <t>Final 2018</t>
  </si>
  <si>
    <t>Fall 2017</t>
  </si>
  <si>
    <t>WYSEF 1</t>
  </si>
  <si>
    <t>Master Women</t>
  </si>
  <si>
    <t>SLUDER, Laura</t>
  </si>
  <si>
    <t>DUNKLEE, Susan</t>
  </si>
  <si>
    <t>EGAN, Clare</t>
  </si>
  <si>
    <t>2018 USBA Points - Final Update</t>
  </si>
  <si>
    <t xml:space="preserve">2018 USBA Points - January Update </t>
  </si>
  <si>
    <t xml:space="preserve">2018 USBA Points - February Update </t>
  </si>
  <si>
    <t>WC 2</t>
  </si>
  <si>
    <t>Altius Cup 1</t>
  </si>
  <si>
    <t>Sr Wm/Master Wm</t>
  </si>
  <si>
    <t>WC  3</t>
  </si>
  <si>
    <t>Le Grand Bornand, FRA</t>
  </si>
  <si>
    <t>IBU CUP Trial 1</t>
  </si>
  <si>
    <t>Mt. Itasca</t>
  </si>
  <si>
    <t>Irwin, Deedra</t>
  </si>
  <si>
    <t>Bender, Jennie</t>
  </si>
  <si>
    <t>Tryfanava, Tatsiana</t>
  </si>
  <si>
    <t>IBU Cup Trial 2</t>
  </si>
  <si>
    <t>Mt Itasca, MN</t>
  </si>
  <si>
    <t>IBU Cup Trial 3</t>
  </si>
  <si>
    <t>MN Cup 1</t>
  </si>
  <si>
    <t>Viren, Annika</t>
  </si>
  <si>
    <t>Bosek, Kaisa</t>
  </si>
  <si>
    <t xml:space="preserve">Hegg, Stormy </t>
  </si>
  <si>
    <t>Bouley, Cheresa</t>
  </si>
  <si>
    <t>Watson, Emma</t>
  </si>
  <si>
    <t>Watson, Lucy</t>
  </si>
  <si>
    <t>Jr Trials 1</t>
  </si>
  <si>
    <t>Garso, Jackie</t>
  </si>
  <si>
    <t>Massey-Bierman, Marika</t>
  </si>
  <si>
    <t>Love, Sabine</t>
  </si>
  <si>
    <t>Hochschartner, Lucy</t>
  </si>
  <si>
    <t>Lapkass, Maja</t>
  </si>
  <si>
    <t>Bleakley, Skye</t>
  </si>
  <si>
    <t>Hegg, Stormy</t>
  </si>
  <si>
    <t>Farra, Lina</t>
  </si>
  <si>
    <t>Wyland, Lucia</t>
  </si>
  <si>
    <t>Darrow, Eloise</t>
  </si>
  <si>
    <t>Grenier, Genevieve</t>
  </si>
  <si>
    <t>Viren, Elsa</t>
  </si>
  <si>
    <t>Jr Trials 2</t>
  </si>
  <si>
    <t>WC 4</t>
  </si>
  <si>
    <t>IBU 4</t>
  </si>
  <si>
    <t>WI 1</t>
  </si>
  <si>
    <t>Middleton, WI</t>
  </si>
  <si>
    <t>Shannon, Holmes</t>
  </si>
  <si>
    <t>Neigh, Arianne</t>
  </si>
  <si>
    <t>Schwensow, Terri-Ann</t>
  </si>
  <si>
    <t>WYSEF</t>
  </si>
  <si>
    <t>WC 5</t>
  </si>
  <si>
    <t>IBU Cup 5</t>
  </si>
  <si>
    <t>Arber, GER</t>
  </si>
  <si>
    <t>MN Cup 7</t>
  </si>
  <si>
    <t>Duluth, MN</t>
  </si>
  <si>
    <t>WC 6</t>
  </si>
  <si>
    <t>Anthloz, ITA</t>
  </si>
  <si>
    <t>WA 1</t>
  </si>
  <si>
    <t>FOX, Bella</t>
  </si>
  <si>
    <t>WINELAND, Samantha</t>
  </si>
  <si>
    <t>WA 2</t>
  </si>
  <si>
    <t>ECH 1</t>
  </si>
  <si>
    <t>Ridnaun, ITA</t>
  </si>
  <si>
    <t>ECH 2</t>
  </si>
  <si>
    <t>NYSSRA 3</t>
  </si>
  <si>
    <t>Saratoga, NY</t>
  </si>
  <si>
    <t>Bridgeman, Stina</t>
  </si>
  <si>
    <t>NYSSRA 4</t>
  </si>
  <si>
    <t>ESG</t>
  </si>
  <si>
    <t>Betournay, Jennifer</t>
  </si>
  <si>
    <t>NGB R1</t>
  </si>
  <si>
    <t>NGB R2</t>
  </si>
  <si>
    <t>McLean-Ellis, Jennifer</t>
  </si>
  <si>
    <t>Hathcock, Tara</t>
  </si>
  <si>
    <t>Linder, Rebecca</t>
  </si>
  <si>
    <t>Lafratta, Stephanie</t>
  </si>
  <si>
    <t>Wangeman, Leslie</t>
  </si>
  <si>
    <t>Rush, Kathryn</t>
  </si>
  <si>
    <t>Hall, Samantha</t>
  </si>
  <si>
    <t>Kasupski, Karin</t>
  </si>
  <si>
    <t>Atkinson, Delyssia</t>
  </si>
  <si>
    <t>Pearson, Lisl</t>
  </si>
  <si>
    <t>Kraft, Allsion</t>
  </si>
  <si>
    <t>Vacura, Julie</t>
  </si>
  <si>
    <t>Cresenzo, Ruth</t>
  </si>
  <si>
    <t>Scoville, Nicole</t>
  </si>
  <si>
    <t>Ott, Ashley</t>
  </si>
  <si>
    <t>Ives, Stephanie</t>
  </si>
  <si>
    <t>Renner, Lisa</t>
  </si>
  <si>
    <t>Eyre, Karly</t>
  </si>
  <si>
    <t>Woodward, Annabel</t>
  </si>
  <si>
    <t>Bassim, Alisha</t>
  </si>
  <si>
    <t>MI</t>
  </si>
  <si>
    <t>PA</t>
  </si>
  <si>
    <t>EABC 5</t>
  </si>
  <si>
    <t>OWG</t>
  </si>
  <si>
    <t>NorAm 5</t>
  </si>
  <si>
    <t>Pyeonchang, KOR</t>
  </si>
  <si>
    <t>NorAm 6</t>
  </si>
  <si>
    <t>Wilson, Laura</t>
  </si>
  <si>
    <t>CO Champs</t>
  </si>
  <si>
    <t>Snow Mt, CO</t>
  </si>
  <si>
    <t>Ritz, Leah</t>
  </si>
  <si>
    <t>Hudon, Kate</t>
  </si>
  <si>
    <t>Zimmerman, Christine</t>
  </si>
  <si>
    <t>Pike, Elizabeth</t>
  </si>
  <si>
    <t>Bekoff, Anne</t>
  </si>
  <si>
    <t>Pedro Trujillo, Dalia</t>
  </si>
  <si>
    <t>Smith, Roberta</t>
  </si>
  <si>
    <t>Szabo, Heather</t>
  </si>
  <si>
    <t>Collins, Julia</t>
  </si>
  <si>
    <t>Anderson, Jolene</t>
  </si>
  <si>
    <t>Vu, Stephanie</t>
  </si>
  <si>
    <t>Skiba, Heidi</t>
  </si>
  <si>
    <t>Underwood, Sasha</t>
  </si>
  <si>
    <t>WJYCH 1</t>
  </si>
  <si>
    <t>Otepaa, EST</t>
  </si>
  <si>
    <t>Jr Cup 3</t>
  </si>
  <si>
    <t>Nove Mesto, CZE</t>
  </si>
  <si>
    <t>Eur Jr Ch</t>
  </si>
  <si>
    <t>Pokljuka, SLO</t>
  </si>
  <si>
    <t>Madigan, Margaret</t>
  </si>
  <si>
    <t>WJYCH 2</t>
  </si>
  <si>
    <t>Wineland, Emma</t>
  </si>
  <si>
    <t>Wineland, Samantha</t>
  </si>
  <si>
    <t>WA 3</t>
  </si>
  <si>
    <t>WJYCH 3</t>
  </si>
  <si>
    <t>WI 6</t>
  </si>
  <si>
    <t>Valaas, Laura</t>
  </si>
  <si>
    <t>Holmes, Shannon</t>
  </si>
  <si>
    <t>Dabkowska, Maggie</t>
  </si>
  <si>
    <t>Osborne, Steph</t>
  </si>
  <si>
    <t>NG Champs</t>
  </si>
  <si>
    <t>Soldier Hollow, UT</t>
  </si>
  <si>
    <t>MILLER, SAMANTHA</t>
  </si>
  <si>
    <t>DELLINGER, CHELSEE</t>
  </si>
  <si>
    <t>MYER, LAUREN</t>
  </si>
  <si>
    <t>PURO, STEFANIE</t>
  </si>
  <si>
    <t>ANDERSON, ASHLEY</t>
  </si>
  <si>
    <t>LAFRATTA, STEPHANIE</t>
  </si>
  <si>
    <t>NOLAN, ASHLEY</t>
  </si>
  <si>
    <t>PEARSON, LISL</t>
  </si>
  <si>
    <t>CLANCY, CLAIRE</t>
  </si>
  <si>
    <t>SMITH, CHRISTINE</t>
  </si>
  <si>
    <t>VACURA, JULIE</t>
  </si>
  <si>
    <t>RENNER, LISA</t>
  </si>
  <si>
    <t>EYRE, KARLY</t>
  </si>
  <si>
    <t>CRESENZO, RUTH</t>
  </si>
  <si>
    <t>KANE, JULIE</t>
  </si>
  <si>
    <t>JAROLIMEK, JAMIE</t>
  </si>
  <si>
    <t>BASSIM, ALISHA</t>
  </si>
  <si>
    <t>FORNUE, JODEE</t>
  </si>
  <si>
    <t>HSIEH, Allison</t>
  </si>
  <si>
    <t>ALEXANDER, MICHALA</t>
  </si>
  <si>
    <t>Musgrove, Lynnae</t>
  </si>
  <si>
    <t>Clancy, Claire</t>
  </si>
  <si>
    <t>BLANKE, BARBARA</t>
  </si>
  <si>
    <t>Puro, Stefanie</t>
  </si>
  <si>
    <t>Myer, Lauren</t>
  </si>
  <si>
    <t>Ospal, Connie</t>
  </si>
  <si>
    <t>Smith, Christine</t>
  </si>
  <si>
    <t>Jarolimek, Jamie</t>
  </si>
  <si>
    <t>Kane, Julie</t>
  </si>
  <si>
    <t>Alexander, Michala</t>
  </si>
  <si>
    <t>Fornue, Jodee</t>
  </si>
  <si>
    <t>Hsieh, Allsion</t>
  </si>
  <si>
    <t>WC 7</t>
  </si>
  <si>
    <t>WC 8</t>
  </si>
  <si>
    <t>WA 5</t>
  </si>
  <si>
    <t>WA 6</t>
  </si>
  <si>
    <t>HOWE, Molly</t>
  </si>
  <si>
    <t>BARRY, Jessica</t>
  </si>
  <si>
    <t>NAKATSU, Larissa</t>
  </si>
  <si>
    <t>ELLEFSON, Kristi</t>
  </si>
  <si>
    <t>WMCh</t>
  </si>
  <si>
    <t>M Women</t>
  </si>
  <si>
    <t xml:space="preserve">Kontiolahti, FIN </t>
  </si>
  <si>
    <t>COLLINS, Julia</t>
  </si>
  <si>
    <t>Natl Chmps</t>
  </si>
  <si>
    <t>Maier, Mikayla</t>
  </si>
  <si>
    <t>Maier, Megan</t>
  </si>
  <si>
    <t>Farra, Sina</t>
  </si>
  <si>
    <t>Wineland, Emmalina</t>
  </si>
  <si>
    <t>Master/Youth Women</t>
  </si>
  <si>
    <t>CA 1</t>
  </si>
  <si>
    <t>Syben, Camille</t>
  </si>
  <si>
    <t>Swan, Samantha</t>
  </si>
  <si>
    <t>CA 2</t>
  </si>
  <si>
    <t>CA 3</t>
  </si>
  <si>
    <t>CA 4</t>
  </si>
  <si>
    <t>Natl Champs</t>
  </si>
  <si>
    <t>2018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</si>
</sst>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dd\-mmm\-yy"/>
    <numFmt numFmtId="166" formatCode="h:mm:ss.0"/>
    <numFmt numFmtId="167" formatCode="[$-409]d\-mmm\-yy;@"/>
    <numFmt numFmtId="168" formatCode="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9"/>
      <color indexed="8"/>
      <name val="Calibri"/>
      <family val="2"/>
    </font>
    <font>
      <sz val="8"/>
      <color rgb="FF000000"/>
      <name val="Tahoma"/>
      <family val="2"/>
    </font>
    <font>
      <sz val="8"/>
      <name val="Tahoma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9"/>
      <name val="Tahoma"/>
      <family val="2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EDEDED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rgb="FFFF0000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5" fillId="0" borderId="0"/>
    <xf numFmtId="0" fontId="5" fillId="23" borderId="7" applyNumberFormat="0" applyFont="0" applyAlignment="0" applyProtection="0"/>
    <xf numFmtId="0" fontId="23" fillId="20" borderId="8" applyNumberFormat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0" fontId="1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12" xfId="4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0" xfId="0" applyFill="1"/>
    <xf numFmtId="2" fontId="4" fillId="0" borderId="15" xfId="40" applyNumberFormat="1" applyFont="1" applyFill="1" applyBorder="1" applyAlignment="1">
      <alignment horizontal="center"/>
    </xf>
    <xf numFmtId="2" fontId="4" fillId="0" borderId="16" xfId="4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/>
    <xf numFmtId="0" fontId="4" fillId="0" borderId="18" xfId="0" applyFont="1" applyFill="1" applyBorder="1"/>
    <xf numFmtId="0" fontId="4" fillId="0" borderId="18" xfId="0" applyFont="1" applyFill="1" applyBorder="1" applyAlignment="1">
      <alignment horizontal="center"/>
    </xf>
    <xf numFmtId="2" fontId="4" fillId="0" borderId="18" xfId="4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/>
    <xf numFmtId="0" fontId="4" fillId="0" borderId="20" xfId="0" applyFont="1" applyFill="1" applyBorder="1" applyAlignment="1">
      <alignment horizontal="center"/>
    </xf>
    <xf numFmtId="2" fontId="4" fillId="0" borderId="20" xfId="0" applyNumberFormat="1" applyFont="1" applyFill="1" applyBorder="1" applyAlignment="1">
      <alignment horizontal="center"/>
    </xf>
    <xf numFmtId="2" fontId="4" fillId="0" borderId="20" xfId="40" applyNumberFormat="1" applyFont="1" applyFill="1" applyBorder="1" applyAlignment="1">
      <alignment horizontal="center"/>
    </xf>
    <xf numFmtId="2" fontId="4" fillId="0" borderId="21" xfId="4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165" fontId="3" fillId="0" borderId="24" xfId="0" applyNumberFormat="1" applyFont="1" applyBorder="1" applyAlignment="1">
      <alignment horizontal="left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165" fontId="3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4" fillId="0" borderId="27" xfId="0" applyFont="1" applyBorder="1" applyAlignment="1">
      <alignment horizontal="center"/>
    </xf>
    <xf numFmtId="0" fontId="3" fillId="0" borderId="0" xfId="0" applyFont="1" applyBorder="1"/>
    <xf numFmtId="0" fontId="4" fillId="0" borderId="28" xfId="0" applyFont="1" applyBorder="1"/>
    <xf numFmtId="0" fontId="4" fillId="0" borderId="29" xfId="0" applyFont="1" applyBorder="1" applyAlignment="1">
      <alignment horizontal="center"/>
    </xf>
    <xf numFmtId="166" fontId="4" fillId="0" borderId="0" xfId="0" applyNumberFormat="1" applyFont="1"/>
    <xf numFmtId="10" fontId="4" fillId="0" borderId="0" xfId="0" applyNumberFormat="1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2" fontId="4" fillId="0" borderId="32" xfId="0" applyNumberFormat="1" applyFont="1" applyFill="1" applyBorder="1" applyAlignment="1">
      <alignment horizontal="center"/>
    </xf>
    <xf numFmtId="2" fontId="4" fillId="0" borderId="33" xfId="0" applyNumberFormat="1" applyFont="1" applyFill="1" applyBorder="1" applyAlignment="1">
      <alignment horizontal="center"/>
    </xf>
    <xf numFmtId="2" fontId="4" fillId="0" borderId="11" xfId="40" applyNumberFormat="1" applyFont="1" applyFill="1" applyBorder="1" applyAlignment="1">
      <alignment horizontal="center"/>
    </xf>
    <xf numFmtId="2" fontId="4" fillId="0" borderId="35" xfId="40" applyNumberFormat="1" applyFont="1" applyFill="1" applyBorder="1" applyAlignment="1">
      <alignment horizontal="center"/>
    </xf>
    <xf numFmtId="2" fontId="4" fillId="0" borderId="19" xfId="40" applyNumberFormat="1" applyFont="1" applyFill="1" applyBorder="1" applyAlignment="1">
      <alignment horizontal="center"/>
    </xf>
    <xf numFmtId="2" fontId="4" fillId="0" borderId="36" xfId="0" applyNumberFormat="1" applyFont="1" applyFill="1" applyBorder="1" applyAlignment="1">
      <alignment horizontal="center"/>
    </xf>
    <xf numFmtId="166" fontId="0" fillId="0" borderId="0" xfId="0" applyNumberFormat="1"/>
    <xf numFmtId="166" fontId="4" fillId="0" borderId="0" xfId="0" applyNumberFormat="1" applyFont="1" applyBorder="1"/>
    <xf numFmtId="46" fontId="4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0" xfId="0" applyFont="1" applyFill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7" fillId="0" borderId="0" xfId="0" applyFont="1" applyFill="1" applyBorder="1" applyProtection="1"/>
    <xf numFmtId="166" fontId="4" fillId="0" borderId="0" xfId="0" applyNumberFormat="1" applyFont="1" applyAlignment="1">
      <alignment horizontal="center"/>
    </xf>
    <xf numFmtId="0" fontId="3" fillId="0" borderId="37" xfId="0" applyFont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37" xfId="0" applyFont="1" applyBorder="1"/>
    <xf numFmtId="166" fontId="4" fillId="0" borderId="0" xfId="0" applyNumberFormat="1" applyFont="1" applyAlignment="1">
      <alignment wrapText="1"/>
    </xf>
    <xf numFmtId="166" fontId="4" fillId="0" borderId="0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12" xfId="0" quotePrefix="1" applyNumberFormat="1" applyFont="1" applyBorder="1" applyAlignment="1">
      <alignment horizontal="center"/>
    </xf>
    <xf numFmtId="2" fontId="4" fillId="0" borderId="33" xfId="0" quotePrefix="1" applyNumberFormat="1" applyFont="1" applyBorder="1" applyAlignment="1">
      <alignment horizontal="center"/>
    </xf>
    <xf numFmtId="0" fontId="3" fillId="0" borderId="38" xfId="0" applyFont="1" applyBorder="1"/>
    <xf numFmtId="0" fontId="3" fillId="0" borderId="39" xfId="0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0" borderId="14" xfId="0" applyFont="1" applyFill="1" applyBorder="1"/>
    <xf numFmtId="0" fontId="4" fillId="0" borderId="4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0" borderId="41" xfId="4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0" borderId="0" xfId="37" applyFont="1" applyBorder="1"/>
    <xf numFmtId="2" fontId="4" fillId="0" borderId="18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7" fontId="4" fillId="0" borderId="0" xfId="0" applyNumberFormat="1" applyFont="1" applyAlignment="1">
      <alignment horizontal="center"/>
    </xf>
    <xf numFmtId="2" fontId="4" fillId="0" borderId="40" xfId="40" applyNumberFormat="1" applyFont="1" applyFill="1" applyBorder="1" applyAlignment="1">
      <alignment horizontal="center"/>
    </xf>
    <xf numFmtId="0" fontId="27" fillId="0" borderId="0" xfId="0" applyFont="1" applyBorder="1"/>
    <xf numFmtId="0" fontId="5" fillId="0" borderId="0" xfId="0" applyFont="1"/>
    <xf numFmtId="0" fontId="28" fillId="0" borderId="0" xfId="0" applyFont="1" applyBorder="1"/>
    <xf numFmtId="166" fontId="0" fillId="0" borderId="0" xfId="0" applyNumberForma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0" fontId="27" fillId="0" borderId="0" xfId="0" applyFont="1" applyFill="1" applyBorder="1"/>
    <xf numFmtId="0" fontId="2" fillId="0" borderId="0" xfId="0" applyFont="1" applyFill="1" applyBorder="1"/>
    <xf numFmtId="2" fontId="4" fillId="0" borderId="16" xfId="0" applyNumberFormat="1" applyFont="1" applyFill="1" applyBorder="1" applyAlignment="1">
      <alignment horizontal="center"/>
    </xf>
    <xf numFmtId="2" fontId="4" fillId="0" borderId="44" xfId="40" applyNumberFormat="1" applyFont="1" applyFill="1" applyBorder="1" applyAlignment="1">
      <alignment horizontal="center"/>
    </xf>
    <xf numFmtId="2" fontId="4" fillId="24" borderId="10" xfId="40" applyNumberFormat="1" applyFont="1" applyFill="1" applyBorder="1" applyAlignment="1">
      <alignment horizontal="center"/>
    </xf>
    <xf numFmtId="2" fontId="4" fillId="24" borderId="12" xfId="40" applyNumberFormat="1" applyFont="1" applyFill="1" applyBorder="1" applyAlignment="1">
      <alignment horizontal="center"/>
    </xf>
    <xf numFmtId="0" fontId="0" fillId="0" borderId="22" xfId="0" applyBorder="1"/>
    <xf numFmtId="0" fontId="4" fillId="0" borderId="0" xfId="0" applyFont="1" applyAlignment="1">
      <alignment horizontal="right"/>
    </xf>
    <xf numFmtId="16" fontId="4" fillId="0" borderId="0" xfId="0" applyNumberFormat="1" applyFont="1"/>
    <xf numFmtId="16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4" fillId="0" borderId="35" xfId="0" applyFont="1" applyFill="1" applyBorder="1" applyAlignment="1">
      <alignment horizontal="center"/>
    </xf>
    <xf numFmtId="0" fontId="4" fillId="0" borderId="18" xfId="0" applyFont="1" applyBorder="1"/>
    <xf numFmtId="0" fontId="10" fillId="0" borderId="0" xfId="44"/>
    <xf numFmtId="0" fontId="29" fillId="0" borderId="0" xfId="44" applyFont="1"/>
    <xf numFmtId="0" fontId="10" fillId="0" borderId="0" xfId="45"/>
    <xf numFmtId="0" fontId="0" fillId="0" borderId="0" xfId="0" applyBorder="1" applyAlignment="1">
      <alignment horizontal="center"/>
    </xf>
    <xf numFmtId="2" fontId="4" fillId="24" borderId="43" xfId="40" applyNumberFormat="1" applyFont="1" applyFill="1" applyBorder="1" applyAlignment="1">
      <alignment horizontal="center"/>
    </xf>
    <xf numFmtId="2" fontId="8" fillId="24" borderId="12" xfId="40" applyNumberFormat="1" applyFont="1" applyFill="1" applyBorder="1" applyAlignment="1">
      <alignment horizontal="center"/>
    </xf>
    <xf numFmtId="2" fontId="4" fillId="24" borderId="41" xfId="40" applyNumberFormat="1" applyFont="1" applyFill="1" applyBorder="1" applyAlignment="1">
      <alignment horizontal="center"/>
    </xf>
    <xf numFmtId="2" fontId="4" fillId="24" borderId="20" xfId="40" applyNumberFormat="1" applyFont="1" applyFill="1" applyBorder="1" applyAlignment="1">
      <alignment horizontal="center"/>
    </xf>
    <xf numFmtId="2" fontId="4" fillId="24" borderId="18" xfId="40" applyNumberFormat="1" applyFont="1" applyFill="1" applyBorder="1" applyAlignment="1">
      <alignment horizontal="center"/>
    </xf>
    <xf numFmtId="2" fontId="4" fillId="24" borderId="44" xfId="4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1" fontId="4" fillId="24" borderId="10" xfId="40" applyNumberFormat="1" applyFont="1" applyFill="1" applyBorder="1" applyAlignment="1">
      <alignment horizontal="center"/>
    </xf>
    <xf numFmtId="1" fontId="4" fillId="24" borderId="12" xfId="40" applyNumberFormat="1" applyFont="1" applyFill="1" applyBorder="1" applyAlignment="1">
      <alignment horizontal="center"/>
    </xf>
    <xf numFmtId="1" fontId="4" fillId="24" borderId="20" xfId="40" applyNumberFormat="1" applyFont="1" applyFill="1" applyBorder="1" applyAlignment="1">
      <alignment horizontal="center"/>
    </xf>
    <xf numFmtId="1" fontId="4" fillId="24" borderId="18" xfId="40" applyNumberFormat="1" applyFont="1" applyFill="1" applyBorder="1" applyAlignment="1">
      <alignment horizontal="center"/>
    </xf>
    <xf numFmtId="1" fontId="4" fillId="24" borderId="30" xfId="40" applyNumberFormat="1" applyFont="1" applyFill="1" applyBorder="1" applyAlignment="1">
      <alignment horizontal="center"/>
    </xf>
    <xf numFmtId="1" fontId="4" fillId="0" borderId="18" xfId="40" applyNumberFormat="1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2" fontId="4" fillId="24" borderId="15" xfId="40" applyNumberFormat="1" applyFont="1" applyFill="1" applyBorder="1" applyAlignment="1">
      <alignment horizontal="center"/>
    </xf>
    <xf numFmtId="2" fontId="4" fillId="24" borderId="16" xfId="40" applyNumberFormat="1" applyFont="1" applyFill="1" applyBorder="1" applyAlignment="1">
      <alignment horizontal="center"/>
    </xf>
    <xf numFmtId="2" fontId="4" fillId="24" borderId="21" xfId="40" applyNumberFormat="1" applyFont="1" applyFill="1" applyBorder="1" applyAlignment="1">
      <alignment horizontal="center"/>
    </xf>
    <xf numFmtId="2" fontId="4" fillId="24" borderId="46" xfId="40" applyNumberFormat="1" applyFont="1" applyFill="1" applyBorder="1" applyAlignment="1">
      <alignment horizontal="center"/>
    </xf>
    <xf numFmtId="2" fontId="4" fillId="24" borderId="31" xfId="40" applyNumberFormat="1" applyFont="1" applyFill="1" applyBorder="1" applyAlignment="1">
      <alignment horizontal="center"/>
    </xf>
    <xf numFmtId="2" fontId="4" fillId="0" borderId="46" xfId="4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" fontId="4" fillId="0" borderId="14" xfId="40" applyNumberFormat="1" applyFont="1" applyFill="1" applyBorder="1" applyAlignment="1">
      <alignment horizontal="center"/>
    </xf>
    <xf numFmtId="2" fontId="4" fillId="0" borderId="17" xfId="4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8" xfId="37" applyFont="1" applyBorder="1"/>
    <xf numFmtId="1" fontId="4" fillId="0" borderId="12" xfId="40" applyNumberFormat="1" applyFont="1" applyFill="1" applyBorder="1" applyAlignment="1">
      <alignment horizontal="center"/>
    </xf>
    <xf numFmtId="1" fontId="4" fillId="0" borderId="20" xfId="4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9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0" fontId="2" fillId="0" borderId="0" xfId="0" applyFont="1" applyFill="1"/>
    <xf numFmtId="1" fontId="4" fillId="0" borderId="0" xfId="40" applyNumberFormat="1" applyFont="1" applyFill="1" applyBorder="1" applyAlignment="1">
      <alignment horizontal="center"/>
    </xf>
    <xf numFmtId="2" fontId="4" fillId="0" borderId="0" xfId="40" applyNumberFormat="1" applyFont="1" applyFill="1" applyBorder="1" applyAlignment="1">
      <alignment horizontal="center"/>
    </xf>
    <xf numFmtId="47" fontId="0" fillId="0" borderId="0" xfId="0" applyNumberFormat="1"/>
    <xf numFmtId="0" fontId="4" fillId="0" borderId="44" xfId="0" applyFont="1" applyFill="1" applyBorder="1" applyAlignment="1">
      <alignment horizontal="left"/>
    </xf>
    <xf numFmtId="0" fontId="30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left"/>
    </xf>
    <xf numFmtId="2" fontId="4" fillId="0" borderId="17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 wrapText="1"/>
    </xf>
    <xf numFmtId="47" fontId="31" fillId="0" borderId="0" xfId="0" applyNumberFormat="1" applyFont="1"/>
    <xf numFmtId="168" fontId="0" fillId="0" borderId="0" xfId="0" applyNumberFormat="1" applyAlignment="1">
      <alignment horizontal="center"/>
    </xf>
    <xf numFmtId="0" fontId="3" fillId="0" borderId="38" xfId="0" applyFont="1" applyBorder="1" applyAlignment="1">
      <alignment horizontal="center"/>
    </xf>
    <xf numFmtId="2" fontId="4" fillId="0" borderId="47" xfId="0" applyNumberFormat="1" applyFont="1" applyFill="1" applyBorder="1" applyAlignment="1">
      <alignment horizontal="center"/>
    </xf>
    <xf numFmtId="2" fontId="4" fillId="0" borderId="48" xfId="0" applyNumberFormat="1" applyFont="1" applyFill="1" applyBorder="1" applyAlignment="1">
      <alignment horizontal="center"/>
    </xf>
    <xf numFmtId="2" fontId="4" fillId="0" borderId="16" xfId="0" quotePrefix="1" applyNumberFormat="1" applyFont="1" applyBorder="1" applyAlignment="1">
      <alignment horizontal="center"/>
    </xf>
    <xf numFmtId="2" fontId="4" fillId="0" borderId="49" xfId="0" applyNumberFormat="1" applyFont="1" applyFill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2" fontId="4" fillId="0" borderId="47" xfId="0" applyNumberFormat="1" applyFont="1" applyBorder="1" applyAlignment="1">
      <alignment horizontal="center"/>
    </xf>
    <xf numFmtId="0" fontId="33" fillId="0" borderId="0" xfId="46" applyFont="1" applyAlignment="1" applyProtection="1"/>
    <xf numFmtId="0" fontId="2" fillId="0" borderId="0" xfId="0" applyFont="1" applyFill="1" applyBorder="1" applyProtection="1"/>
    <xf numFmtId="0" fontId="2" fillId="0" borderId="0" xfId="0" applyFont="1" applyBorder="1" applyProtection="1"/>
    <xf numFmtId="2" fontId="4" fillId="0" borderId="50" xfId="0" applyNumberFormat="1" applyFont="1" applyBorder="1" applyAlignment="1">
      <alignment horizontal="center"/>
    </xf>
    <xf numFmtId="2" fontId="4" fillId="0" borderId="51" xfId="0" applyNumberFormat="1" applyFont="1" applyBorder="1" applyAlignment="1">
      <alignment horizontal="center"/>
    </xf>
    <xf numFmtId="0" fontId="4" fillId="0" borderId="45" xfId="0" applyFont="1" applyFill="1" applyBorder="1"/>
    <xf numFmtId="0" fontId="4" fillId="0" borderId="45" xfId="0" applyFont="1" applyFill="1" applyBorder="1" applyAlignment="1">
      <alignment horizontal="center"/>
    </xf>
    <xf numFmtId="1" fontId="4" fillId="0" borderId="45" xfId="0" quotePrefix="1" applyNumberFormat="1" applyFont="1" applyBorder="1" applyAlignment="1">
      <alignment horizontal="center"/>
    </xf>
    <xf numFmtId="2" fontId="4" fillId="0" borderId="45" xfId="0" quotePrefix="1" applyNumberFormat="1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0" fontId="4" fillId="0" borderId="52" xfId="0" applyFont="1" applyFill="1" applyBorder="1"/>
    <xf numFmtId="0" fontId="4" fillId="0" borderId="52" xfId="0" applyFont="1" applyFill="1" applyBorder="1" applyAlignment="1">
      <alignment horizontal="center"/>
    </xf>
    <xf numFmtId="1" fontId="4" fillId="0" borderId="52" xfId="0" quotePrefix="1" applyNumberFormat="1" applyFont="1" applyBorder="1" applyAlignment="1">
      <alignment horizontal="center"/>
    </xf>
    <xf numFmtId="2" fontId="4" fillId="0" borderId="52" xfId="0" quotePrefix="1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0" fontId="3" fillId="0" borderId="54" xfId="0" applyFont="1" applyBorder="1"/>
    <xf numFmtId="0" fontId="3" fillId="0" borderId="55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2" fontId="4" fillId="0" borderId="60" xfId="0" applyNumberFormat="1" applyFont="1" applyBorder="1" applyAlignment="1">
      <alignment horizontal="center"/>
    </xf>
    <xf numFmtId="2" fontId="4" fillId="0" borderId="61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44" xfId="0" applyFont="1" applyBorder="1"/>
    <xf numFmtId="0" fontId="4" fillId="0" borderId="18" xfId="0" applyFont="1" applyFill="1" applyBorder="1" applyAlignment="1">
      <alignment horizontal="left"/>
    </xf>
    <xf numFmtId="2" fontId="8" fillId="24" borderId="18" xfId="40" applyNumberFormat="1" applyFont="1" applyFill="1" applyBorder="1" applyAlignment="1">
      <alignment horizontal="center"/>
    </xf>
    <xf numFmtId="2" fontId="4" fillId="0" borderId="10" xfId="4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22" xfId="0" quotePrefix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12" xfId="37" applyFont="1" applyBorder="1"/>
    <xf numFmtId="0" fontId="4" fillId="0" borderId="44" xfId="0" applyFont="1" applyFill="1" applyBorder="1"/>
    <xf numFmtId="164" fontId="34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center"/>
    </xf>
    <xf numFmtId="1" fontId="4" fillId="0" borderId="10" xfId="40" applyNumberFormat="1" applyFont="1" applyFill="1" applyBorder="1" applyAlignment="1">
      <alignment horizontal="center"/>
    </xf>
    <xf numFmtId="0" fontId="4" fillId="0" borderId="20" xfId="0" applyFont="1" applyBorder="1" applyAlignment="1">
      <alignment horizontal="left"/>
    </xf>
    <xf numFmtId="2" fontId="4" fillId="24" borderId="17" xfId="40" applyNumberFormat="1" applyFont="1" applyFill="1" applyBorder="1" applyAlignment="1">
      <alignment horizontal="center"/>
    </xf>
    <xf numFmtId="1" fontId="2" fillId="0" borderId="62" xfId="0" applyNumberFormat="1" applyFont="1" applyBorder="1" applyAlignment="1">
      <alignment horizontal="center" vertical="center" wrapText="1"/>
    </xf>
    <xf numFmtId="0" fontId="36" fillId="0" borderId="62" xfId="46" applyFont="1" applyBorder="1" applyAlignment="1" applyProtection="1">
      <alignment horizontal="left" vertical="center" wrapText="1"/>
    </xf>
    <xf numFmtId="47" fontId="4" fillId="0" borderId="0" xfId="0" applyNumberFormat="1" applyFont="1"/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2" fontId="4" fillId="0" borderId="36" xfId="0" quotePrefix="1" applyNumberFormat="1" applyFont="1" applyBorder="1" applyAlignment="1">
      <alignment horizontal="center"/>
    </xf>
    <xf numFmtId="2" fontId="4" fillId="0" borderId="34" xfId="0" quotePrefix="1" applyNumberFormat="1" applyFont="1" applyBorder="1" applyAlignment="1">
      <alignment horizontal="center"/>
    </xf>
    <xf numFmtId="2" fontId="4" fillId="0" borderId="17" xfId="0" quotePrefix="1" applyNumberFormat="1" applyFont="1" applyBorder="1" applyAlignment="1">
      <alignment horizontal="center"/>
    </xf>
    <xf numFmtId="2" fontId="4" fillId="0" borderId="21" xfId="0" quotePrefix="1" applyNumberFormat="1" applyFont="1" applyBorder="1" applyAlignment="1">
      <alignment horizontal="center"/>
    </xf>
    <xf numFmtId="1" fontId="4" fillId="0" borderId="14" xfId="0" quotePrefix="1" applyNumberFormat="1" applyFont="1" applyBorder="1" applyAlignment="1">
      <alignment horizontal="center"/>
    </xf>
    <xf numFmtId="1" fontId="4" fillId="0" borderId="20" xfId="0" quotePrefix="1" applyNumberFormat="1" applyFont="1" applyBorder="1" applyAlignment="1">
      <alignment horizontal="center"/>
    </xf>
    <xf numFmtId="0" fontId="37" fillId="0" borderId="0" xfId="47" applyFont="1" applyFill="1" applyBorder="1" applyAlignment="1">
      <alignment horizontal="left" vertical="top"/>
    </xf>
    <xf numFmtId="0" fontId="4" fillId="0" borderId="10" xfId="0" applyFont="1" applyFill="1" applyBorder="1"/>
    <xf numFmtId="166" fontId="4" fillId="0" borderId="22" xfId="0" applyNumberFormat="1" applyFont="1" applyBorder="1"/>
    <xf numFmtId="49" fontId="34" fillId="0" borderId="0" xfId="0" applyNumberFormat="1" applyFont="1" applyAlignment="1">
      <alignment horizontal="center"/>
    </xf>
    <xf numFmtId="0" fontId="4" fillId="0" borderId="24" xfId="0" applyFont="1" applyBorder="1" applyAlignment="1">
      <alignment horizontal="center"/>
    </xf>
    <xf numFmtId="166" fontId="4" fillId="0" borderId="0" xfId="0" applyNumberFormat="1" applyFont="1" applyAlignment="1">
      <alignment horizontal="center" wrapText="1"/>
    </xf>
    <xf numFmtId="0" fontId="4" fillId="0" borderId="20" xfId="0" applyFont="1" applyFill="1" applyBorder="1" applyAlignment="1"/>
    <xf numFmtId="0" fontId="4" fillId="0" borderId="12" xfId="0" applyFont="1" applyFill="1" applyBorder="1" applyAlignment="1"/>
    <xf numFmtId="0" fontId="4" fillId="0" borderId="12" xfId="0" applyFont="1" applyBorder="1" applyAlignment="1"/>
    <xf numFmtId="0" fontId="4" fillId="0" borderId="20" xfId="0" applyFont="1" applyBorder="1" applyAlignment="1"/>
    <xf numFmtId="0" fontId="2" fillId="0" borderId="12" xfId="37" applyFont="1" applyBorder="1" applyAlignment="1"/>
    <xf numFmtId="0" fontId="4" fillId="0" borderId="18" xfId="0" applyFont="1" applyBorder="1" applyAlignment="1"/>
    <xf numFmtId="0" fontId="4" fillId="0" borderId="18" xfId="0" applyFont="1" applyFill="1" applyBorder="1" applyAlignment="1"/>
    <xf numFmtId="0" fontId="4" fillId="0" borderId="0" xfId="0" applyFont="1" applyFill="1" applyBorder="1" applyAlignment="1"/>
    <xf numFmtId="0" fontId="2" fillId="0" borderId="18" xfId="37" applyFont="1" applyBorder="1" applyAlignment="1"/>
    <xf numFmtId="1" fontId="4" fillId="0" borderId="10" xfId="0" quotePrefix="1" applyNumberFormat="1" applyFont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/>
    </xf>
    <xf numFmtId="2" fontId="4" fillId="0" borderId="15" xfId="0" quotePrefix="1" applyNumberFormat="1" applyFont="1" applyBorder="1" applyAlignment="1">
      <alignment horizontal="center"/>
    </xf>
    <xf numFmtId="2" fontId="4" fillId="0" borderId="48" xfId="0" quotePrefix="1" applyNumberFormat="1" applyFont="1" applyBorder="1" applyAlignment="1">
      <alignment horizontal="center"/>
    </xf>
    <xf numFmtId="0" fontId="4" fillId="0" borderId="14" xfId="0" applyFont="1" applyBorder="1" applyAlignment="1"/>
    <xf numFmtId="0" fontId="4" fillId="0" borderId="63" xfId="0" applyFont="1" applyBorder="1" applyAlignment="1">
      <alignment horizontal="center"/>
    </xf>
    <xf numFmtId="0" fontId="4" fillId="0" borderId="64" xfId="0" applyFont="1" applyFill="1" applyBorder="1"/>
    <xf numFmtId="0" fontId="4" fillId="0" borderId="64" xfId="0" applyFont="1" applyFill="1" applyBorder="1" applyAlignment="1">
      <alignment horizontal="center"/>
    </xf>
    <xf numFmtId="1" fontId="4" fillId="0" borderId="64" xfId="0" quotePrefix="1" applyNumberFormat="1" applyFont="1" applyBorder="1" applyAlignment="1">
      <alignment horizontal="center"/>
    </xf>
    <xf numFmtId="2" fontId="4" fillId="0" borderId="64" xfId="0" quotePrefix="1" applyNumberFormat="1" applyFont="1" applyBorder="1" applyAlignment="1">
      <alignment horizontal="center"/>
    </xf>
    <xf numFmtId="2" fontId="4" fillId="0" borderId="64" xfId="0" applyNumberFormat="1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2" fontId="4" fillId="0" borderId="66" xfId="0" applyNumberFormat="1" applyFont="1" applyBorder="1" applyAlignment="1">
      <alignment horizontal="center"/>
    </xf>
    <xf numFmtId="0" fontId="4" fillId="0" borderId="41" xfId="0" applyFont="1" applyFill="1" applyBorder="1" applyAlignment="1">
      <alignment horizontal="left"/>
    </xf>
    <xf numFmtId="2" fontId="4" fillId="24" borderId="11" xfId="4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2" fontId="4" fillId="0" borderId="67" xfId="40" applyNumberFormat="1" applyFont="1" applyFill="1" applyBorder="1" applyAlignment="1">
      <alignment horizontal="center"/>
    </xf>
    <xf numFmtId="2" fontId="4" fillId="24" borderId="68" xfId="40" applyNumberFormat="1" applyFont="1" applyFill="1" applyBorder="1" applyAlignment="1">
      <alignment horizontal="center"/>
    </xf>
    <xf numFmtId="2" fontId="4" fillId="0" borderId="69" xfId="40" applyNumberFormat="1" applyFont="1" applyFill="1" applyBorder="1" applyAlignment="1">
      <alignment horizontal="center"/>
    </xf>
    <xf numFmtId="2" fontId="4" fillId="24" borderId="70" xfId="40" applyNumberFormat="1" applyFont="1" applyFill="1" applyBorder="1" applyAlignment="1">
      <alignment horizontal="center"/>
    </xf>
    <xf numFmtId="2" fontId="4" fillId="24" borderId="69" xfId="40" applyNumberFormat="1" applyFont="1" applyFill="1" applyBorder="1" applyAlignment="1">
      <alignment horizontal="center"/>
    </xf>
    <xf numFmtId="2" fontId="4" fillId="0" borderId="70" xfId="40" applyNumberFormat="1" applyFont="1" applyFill="1" applyBorder="1" applyAlignment="1">
      <alignment horizontal="center"/>
    </xf>
    <xf numFmtId="2" fontId="4" fillId="0" borderId="73" xfId="40" applyNumberFormat="1" applyFont="1" applyFill="1" applyBorder="1" applyAlignment="1">
      <alignment horizontal="center"/>
    </xf>
    <xf numFmtId="2" fontId="4" fillId="24" borderId="73" xfId="40" applyNumberFormat="1" applyFont="1" applyFill="1" applyBorder="1" applyAlignment="1">
      <alignment horizontal="center"/>
    </xf>
    <xf numFmtId="2" fontId="4" fillId="24" borderId="74" xfId="40" applyNumberFormat="1" applyFont="1" applyFill="1" applyBorder="1" applyAlignment="1">
      <alignment horizontal="center"/>
    </xf>
    <xf numFmtId="0" fontId="4" fillId="24" borderId="11" xfId="0" applyFont="1" applyFill="1" applyBorder="1" applyAlignment="1">
      <alignment horizontal="center"/>
    </xf>
    <xf numFmtId="0" fontId="4" fillId="24" borderId="12" xfId="0" applyFont="1" applyFill="1" applyBorder="1" applyAlignment="1">
      <alignment horizontal="left"/>
    </xf>
    <xf numFmtId="0" fontId="4" fillId="24" borderId="12" xfId="0" applyFont="1" applyFill="1" applyBorder="1" applyAlignment="1">
      <alignment horizontal="center"/>
    </xf>
    <xf numFmtId="0" fontId="4" fillId="24" borderId="12" xfId="0" applyFont="1" applyFill="1" applyBorder="1"/>
    <xf numFmtId="2" fontId="4" fillId="24" borderId="12" xfId="0" applyNumberFormat="1" applyFont="1" applyFill="1" applyBorder="1" applyAlignment="1">
      <alignment horizontal="center"/>
    </xf>
    <xf numFmtId="2" fontId="4" fillId="24" borderId="0" xfId="0" applyNumberFormat="1" applyFont="1" applyFill="1" applyBorder="1" applyAlignment="1">
      <alignment horizontal="center"/>
    </xf>
    <xf numFmtId="0" fontId="4" fillId="24" borderId="0" xfId="0" applyFont="1" applyFill="1" applyAlignment="1">
      <alignment horizontal="center"/>
    </xf>
    <xf numFmtId="2" fontId="4" fillId="24" borderId="0" xfId="0" applyNumberFormat="1" applyFont="1" applyFill="1" applyAlignment="1">
      <alignment horizontal="center"/>
    </xf>
    <xf numFmtId="0" fontId="0" fillId="24" borderId="0" xfId="0" applyFill="1"/>
    <xf numFmtId="0" fontId="31" fillId="24" borderId="0" xfId="0" applyFont="1" applyFill="1" applyAlignment="1">
      <alignment horizontal="center" wrapText="1"/>
    </xf>
    <xf numFmtId="2" fontId="4" fillId="24" borderId="16" xfId="0" applyNumberFormat="1" applyFont="1" applyFill="1" applyBorder="1" applyAlignment="1">
      <alignment horizontal="center"/>
    </xf>
    <xf numFmtId="2" fontId="4" fillId="0" borderId="34" xfId="0" applyNumberFormat="1" applyFont="1" applyFill="1" applyBorder="1" applyAlignment="1">
      <alignment horizontal="center"/>
    </xf>
    <xf numFmtId="2" fontId="4" fillId="0" borderId="21" xfId="0" applyNumberFormat="1" applyFont="1" applyFill="1" applyBorder="1" applyAlignment="1">
      <alignment horizontal="center"/>
    </xf>
    <xf numFmtId="2" fontId="4" fillId="0" borderId="42" xfId="40" applyNumberFormat="1" applyFont="1" applyFill="1" applyBorder="1" applyAlignment="1">
      <alignment horizontal="center"/>
    </xf>
    <xf numFmtId="2" fontId="4" fillId="0" borderId="30" xfId="40" applyNumberFormat="1" applyFont="1" applyFill="1" applyBorder="1" applyAlignment="1">
      <alignment horizontal="center"/>
    </xf>
    <xf numFmtId="2" fontId="4" fillId="24" borderId="30" xfId="40" applyNumberFormat="1" applyFont="1" applyFill="1" applyBorder="1" applyAlignment="1">
      <alignment horizontal="center"/>
    </xf>
    <xf numFmtId="0" fontId="4" fillId="0" borderId="41" xfId="0" applyFont="1" applyBorder="1"/>
    <xf numFmtId="0" fontId="4" fillId="0" borderId="0" xfId="0" applyFont="1" applyFill="1" applyBorder="1" applyAlignment="1">
      <alignment horizontal="left"/>
    </xf>
    <xf numFmtId="0" fontId="4" fillId="0" borderId="41" xfId="0" applyFont="1" applyFill="1" applyBorder="1"/>
    <xf numFmtId="2" fontId="4" fillId="24" borderId="18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Fill="1" applyBorder="1"/>
    <xf numFmtId="0" fontId="4" fillId="24" borderId="0" xfId="0" applyFont="1" applyFill="1"/>
    <xf numFmtId="0" fontId="4" fillId="24" borderId="18" xfId="0" applyFont="1" applyFill="1" applyBorder="1"/>
    <xf numFmtId="0" fontId="4" fillId="24" borderId="18" xfId="0" applyFont="1" applyFill="1" applyBorder="1" applyAlignment="1">
      <alignment horizontal="center"/>
    </xf>
    <xf numFmtId="2" fontId="4" fillId="24" borderId="35" xfId="40" applyNumberFormat="1" applyFont="1" applyFill="1" applyBorder="1" applyAlignment="1">
      <alignment horizontal="center"/>
    </xf>
    <xf numFmtId="166" fontId="4" fillId="0" borderId="0" xfId="0" quotePrefix="1" applyNumberFormat="1" applyFont="1" applyBorder="1" applyAlignment="1">
      <alignment horizontal="center"/>
    </xf>
    <xf numFmtId="0" fontId="2" fillId="0" borderId="0" xfId="37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9" fontId="0" fillId="0" borderId="0" xfId="0" applyNumberFormat="1"/>
    <xf numFmtId="14" fontId="3" fillId="0" borderId="0" xfId="0" applyNumberFormat="1" applyFont="1" applyBorder="1" applyAlignment="1">
      <alignment horizontal="left"/>
    </xf>
    <xf numFmtId="0" fontId="0" fillId="24" borderId="12" xfId="0" applyFill="1" applyBorder="1"/>
    <xf numFmtId="2" fontId="4" fillId="0" borderId="75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2" fontId="4" fillId="0" borderId="76" xfId="40" applyNumberFormat="1" applyFont="1" applyFill="1" applyBorder="1" applyAlignment="1">
      <alignment horizontal="center"/>
    </xf>
    <xf numFmtId="2" fontId="4" fillId="0" borderId="77" xfId="40" applyNumberFormat="1" applyFont="1" applyFill="1" applyBorder="1" applyAlignment="1">
      <alignment horizontal="center"/>
    </xf>
    <xf numFmtId="2" fontId="4" fillId="0" borderId="78" xfId="40" applyNumberFormat="1" applyFont="1" applyFill="1" applyBorder="1" applyAlignment="1">
      <alignment horizontal="center"/>
    </xf>
    <xf numFmtId="2" fontId="4" fillId="0" borderId="79" xfId="40" applyNumberFormat="1" applyFont="1" applyFill="1" applyBorder="1" applyAlignment="1">
      <alignment horizontal="center"/>
    </xf>
    <xf numFmtId="2" fontId="4" fillId="24" borderId="78" xfId="40" applyNumberFormat="1" applyFont="1" applyFill="1" applyBorder="1" applyAlignment="1">
      <alignment horizontal="center"/>
    </xf>
    <xf numFmtId="2" fontId="4" fillId="24" borderId="79" xfId="40" applyNumberFormat="1" applyFont="1" applyFill="1" applyBorder="1" applyAlignment="1">
      <alignment horizontal="center"/>
    </xf>
    <xf numFmtId="2" fontId="4" fillId="0" borderId="71" xfId="40" applyNumberFormat="1" applyFont="1" applyFill="1" applyBorder="1" applyAlignment="1">
      <alignment horizontal="center"/>
    </xf>
    <xf numFmtId="2" fontId="4" fillId="0" borderId="72" xfId="40" applyNumberFormat="1" applyFont="1" applyFill="1" applyBorder="1" applyAlignment="1">
      <alignment horizontal="center"/>
    </xf>
    <xf numFmtId="0" fontId="4" fillId="24" borderId="20" xfId="0" applyFont="1" applyFill="1" applyBorder="1" applyAlignment="1">
      <alignment horizontal="left"/>
    </xf>
    <xf numFmtId="0" fontId="38" fillId="25" borderId="0" xfId="0" applyFont="1" applyFill="1" applyAlignment="1">
      <alignment vertical="center" wrapText="1"/>
    </xf>
    <xf numFmtId="0" fontId="38" fillId="25" borderId="0" xfId="0" applyFont="1" applyFill="1" applyAlignment="1">
      <alignment horizontal="center" vertical="center" wrapText="1"/>
    </xf>
    <xf numFmtId="0" fontId="38" fillId="26" borderId="0" xfId="0" applyFont="1" applyFill="1" applyAlignment="1">
      <alignment vertical="center" wrapText="1"/>
    </xf>
    <xf numFmtId="0" fontId="38" fillId="26" borderId="0" xfId="0" applyFont="1" applyFill="1" applyAlignment="1">
      <alignment horizontal="center" vertical="center" wrapText="1"/>
    </xf>
    <xf numFmtId="2" fontId="4" fillId="0" borderId="80" xfId="0" applyNumberFormat="1" applyFont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rmal 4" xfId="47" xr:uid="{00000000-0005-0000-0000-000027000000}"/>
    <cellStyle name="Normal_M-W~MASS" xfId="44" xr:uid="{00000000-0005-0000-0000-000028000000}"/>
    <cellStyle name="Normal_YOUTH~MASS" xfId="45" xr:uid="{00000000-0005-0000-0000-00002900000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services.biathlonresults.com/athletes.aspx?IbuId=BTUSA22404199801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://services.biathlonresults.com/athletes.aspx?IbuId=BTUSA22404199801" TargetMode="External"/><Relationship Id="rId1" Type="http://schemas.openxmlformats.org/officeDocument/2006/relationships/hyperlink" Target="http://services.biathlonresults.com/athletes.aspx?IbuId=BTUSA22404199801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services.biathlonresults.com/athletes.aspx?IbuId=BTUSA22404199801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services.biathlonresults.com/athletes.aspx?IbuId=BTUSA22404199801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services.biathlonresults.com/athletes.aspx?IbuId=BTUSA21204199401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services.biathlonresults.com/athletes.aspx?IbuId=BTUSA21204199401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://services.biathlonresults.com/athletes.aspx?IbuId=BTUSA22404199801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es.biathlonresults.com/athletes.aspx?IbuId=BTUSA22401199001" TargetMode="External"/><Relationship Id="rId2" Type="http://schemas.openxmlformats.org/officeDocument/2006/relationships/hyperlink" Target="http://services.biathlonresults.com/athletes.aspx?IbuId=BTUSA22404199801" TargetMode="External"/><Relationship Id="rId1" Type="http://schemas.openxmlformats.org/officeDocument/2006/relationships/hyperlink" Target="http://services.biathlonresults.com/athletes.aspx?IbuId=BTUSA20205199801" TargetMode="External"/><Relationship Id="rId4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services.biathlonresults.com/athletes.aspx?IbuId=BTUSA22401199001" TargetMode="External"/><Relationship Id="rId1" Type="http://schemas.openxmlformats.org/officeDocument/2006/relationships/hyperlink" Target="http://services.biathlonresults.com/athletes.aspx?IbuId=BTUSA22404199801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services.biathlonresults.com/athletes.aspx?IbuId=BTUSA22401199001" TargetMode="External"/><Relationship Id="rId1" Type="http://schemas.openxmlformats.org/officeDocument/2006/relationships/hyperlink" Target="http://services.biathlonresults.com/athletes.aspx?IbuId=BTUSA22404199801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es.biathlonresults.com/athletes.aspx?IbuId=BTUSA22404199801" TargetMode="External"/><Relationship Id="rId2" Type="http://schemas.openxmlformats.org/officeDocument/2006/relationships/hyperlink" Target="http://services.biathlonresults.com/athletes.aspx?IbuId=BTUSA22401199001" TargetMode="External"/><Relationship Id="rId1" Type="http://schemas.openxmlformats.org/officeDocument/2006/relationships/hyperlink" Target="http://services.biathlonresults.com/athletes.aspx?IbuId=BTUSA22404199801" TargetMode="External"/><Relationship Id="rId4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hyperlink" Target="http://services.biathlonresults.com/athletes.aspx?IbuId=BTUSA22401199001" TargetMode="External"/><Relationship Id="rId1" Type="http://schemas.openxmlformats.org/officeDocument/2006/relationships/hyperlink" Target="http://services.biathlonresults.com/athletes.aspx?IbuId=BTUSA22401199001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services.biathlonresults.com/athletes.aspx?IbuId=BTBLR20308198602" TargetMode="Externa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hyperlink" Target="http://services.biathlonresults.com/athletes.aspx?IbuId=BTUSA22401199001" TargetMode="Externa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45"/>
  <sheetViews>
    <sheetView tabSelected="1" topLeftCell="M133" workbookViewId="0">
      <selection activeCell="S1" sqref="S1:Z139"/>
    </sheetView>
  </sheetViews>
  <sheetFormatPr defaultRowHeight="12.75" x14ac:dyDescent="0.2"/>
  <cols>
    <col min="1" max="1" width="5.7109375" customWidth="1"/>
    <col min="2" max="2" width="24.7109375" customWidth="1"/>
    <col min="3" max="4" width="6.7109375" style="63" customWidth="1"/>
    <col min="5" max="5" width="6.7109375" customWidth="1"/>
    <col min="6" max="7" width="10.7109375" customWidth="1"/>
    <col min="10" max="10" width="5.7109375" customWidth="1"/>
    <col min="11" max="11" width="24.7109375" customWidth="1"/>
    <col min="12" max="14" width="6.7109375" customWidth="1"/>
    <col min="15" max="16" width="10.7109375" customWidth="1"/>
    <col min="19" max="19" width="5.7109375" customWidth="1"/>
    <col min="20" max="20" width="24.7109375" customWidth="1"/>
    <col min="21" max="21" width="6.7109375" style="63" customWidth="1"/>
    <col min="22" max="23" width="6.7109375" customWidth="1"/>
    <col min="24" max="26" width="10.7109375" customWidth="1"/>
    <col min="28" max="28" width="5.7109375" customWidth="1"/>
    <col min="29" max="29" width="24.7109375" customWidth="1"/>
    <col min="30" max="32" width="6.7109375" customWidth="1"/>
    <col min="33" max="34" width="10.7109375" customWidth="1"/>
    <col min="37" max="37" width="5.7109375" customWidth="1"/>
    <col min="38" max="38" width="24.7109375" customWidth="1"/>
    <col min="39" max="41" width="6.7109375" customWidth="1"/>
    <col min="42" max="43" width="10.7109375" customWidth="1"/>
    <col min="46" max="46" width="5.7109375" customWidth="1"/>
    <col min="47" max="47" width="24.7109375" customWidth="1"/>
    <col min="48" max="50" width="6.7109375" customWidth="1"/>
    <col min="51" max="52" width="10.7109375" customWidth="1"/>
  </cols>
  <sheetData>
    <row r="1" spans="1:53" ht="13.5" thickBot="1" x14ac:dyDescent="0.25">
      <c r="A1" s="55"/>
      <c r="B1" s="37" t="s">
        <v>336</v>
      </c>
      <c r="C1" s="107"/>
      <c r="D1" s="107"/>
      <c r="E1" s="55"/>
      <c r="F1" s="55"/>
      <c r="G1" s="97"/>
      <c r="I1" s="97"/>
      <c r="J1" s="97"/>
      <c r="K1" s="37" t="s">
        <v>337</v>
      </c>
      <c r="N1" s="1"/>
      <c r="S1" s="55"/>
      <c r="T1" s="37" t="s">
        <v>335</v>
      </c>
      <c r="U1" s="107"/>
      <c r="V1" s="55"/>
      <c r="W1" s="55"/>
      <c r="X1" s="55"/>
      <c r="Y1" s="55"/>
      <c r="AB1" s="55"/>
      <c r="AC1" s="37" t="s">
        <v>335</v>
      </c>
      <c r="AD1" s="107"/>
      <c r="AE1" s="55"/>
      <c r="AF1" s="55"/>
      <c r="AG1" s="55"/>
      <c r="AH1" s="55"/>
      <c r="AK1" s="55"/>
      <c r="AL1" s="37" t="s">
        <v>335</v>
      </c>
      <c r="AM1" s="107"/>
      <c r="AN1" s="55"/>
      <c r="AO1" s="55"/>
      <c r="AP1" s="55"/>
      <c r="AQ1" s="55"/>
      <c r="AT1" s="55"/>
      <c r="AU1" s="37" t="s">
        <v>335</v>
      </c>
      <c r="AV1" s="107"/>
      <c r="AW1" s="55"/>
      <c r="AX1" s="55"/>
      <c r="AY1" s="55"/>
      <c r="AZ1" s="55"/>
    </row>
    <row r="2" spans="1:53" x14ac:dyDescent="0.2">
      <c r="A2" s="71" t="s">
        <v>2</v>
      </c>
      <c r="B2" s="64" t="s">
        <v>57</v>
      </c>
      <c r="C2" s="61" t="s">
        <v>1</v>
      </c>
      <c r="D2" s="61" t="s">
        <v>29</v>
      </c>
      <c r="E2" s="61" t="s">
        <v>8</v>
      </c>
      <c r="F2" s="61" t="s">
        <v>9</v>
      </c>
      <c r="G2" s="72" t="s">
        <v>45</v>
      </c>
      <c r="H2" s="155" t="s">
        <v>27</v>
      </c>
      <c r="I2" s="72" t="s">
        <v>38</v>
      </c>
      <c r="J2" s="71" t="s">
        <v>2</v>
      </c>
      <c r="K2" s="64" t="s">
        <v>57</v>
      </c>
      <c r="L2" s="61" t="s">
        <v>1</v>
      </c>
      <c r="M2" s="61" t="s">
        <v>29</v>
      </c>
      <c r="N2" s="61" t="s">
        <v>8</v>
      </c>
      <c r="O2" s="61" t="s">
        <v>9</v>
      </c>
      <c r="P2" s="72" t="s">
        <v>45</v>
      </c>
      <c r="Q2" s="161" t="s">
        <v>27</v>
      </c>
      <c r="R2" s="155" t="s">
        <v>52</v>
      </c>
      <c r="S2" s="178" t="s">
        <v>2</v>
      </c>
      <c r="T2" s="179" t="s">
        <v>57</v>
      </c>
      <c r="U2" s="180" t="s">
        <v>1</v>
      </c>
      <c r="V2" s="180" t="s">
        <v>29</v>
      </c>
      <c r="W2" s="180" t="s">
        <v>8</v>
      </c>
      <c r="X2" s="180" t="s">
        <v>314</v>
      </c>
      <c r="Y2" s="181" t="s">
        <v>521</v>
      </c>
      <c r="Z2" s="243" t="s">
        <v>38</v>
      </c>
      <c r="AA2" s="182" t="s">
        <v>27</v>
      </c>
      <c r="AB2" s="178" t="s">
        <v>2</v>
      </c>
      <c r="AC2" s="179" t="s">
        <v>57</v>
      </c>
      <c r="AD2" s="180" t="s">
        <v>1</v>
      </c>
      <c r="AE2" s="180" t="s">
        <v>29</v>
      </c>
      <c r="AF2" s="180" t="s">
        <v>8</v>
      </c>
      <c r="AG2" s="180" t="s">
        <v>313</v>
      </c>
      <c r="AH2" s="181" t="s">
        <v>314</v>
      </c>
      <c r="AI2" s="187" t="s">
        <v>38</v>
      </c>
      <c r="AJ2" s="182" t="s">
        <v>27</v>
      </c>
      <c r="AK2" s="178" t="s">
        <v>2</v>
      </c>
      <c r="AL2" s="179" t="s">
        <v>13</v>
      </c>
      <c r="AM2" s="180" t="s">
        <v>1</v>
      </c>
      <c r="AN2" s="180" t="s">
        <v>29</v>
      </c>
      <c r="AO2" s="180" t="s">
        <v>8</v>
      </c>
      <c r="AP2" s="180" t="s">
        <v>313</v>
      </c>
      <c r="AQ2" s="181" t="s">
        <v>314</v>
      </c>
      <c r="AR2" s="243" t="s">
        <v>38</v>
      </c>
      <c r="AS2" s="182" t="s">
        <v>27</v>
      </c>
      <c r="AT2" s="178" t="s">
        <v>2</v>
      </c>
      <c r="AU2" s="179" t="s">
        <v>24</v>
      </c>
      <c r="AV2" s="180" t="s">
        <v>1</v>
      </c>
      <c r="AW2" s="180" t="s">
        <v>29</v>
      </c>
      <c r="AX2" s="180" t="s">
        <v>8</v>
      </c>
      <c r="AY2" s="180" t="s">
        <v>246</v>
      </c>
      <c r="AZ2" s="181" t="s">
        <v>265</v>
      </c>
      <c r="BA2" s="187" t="s">
        <v>38</v>
      </c>
    </row>
    <row r="3" spans="1:53" x14ac:dyDescent="0.2">
      <c r="A3" s="76">
        <v>1</v>
      </c>
      <c r="B3" s="226"/>
      <c r="C3" s="23"/>
      <c r="D3" s="23"/>
      <c r="E3" s="232"/>
      <c r="F3" s="233"/>
      <c r="G3" s="234"/>
      <c r="H3" s="156"/>
      <c r="I3" s="73"/>
      <c r="J3" s="76">
        <v>1</v>
      </c>
      <c r="K3" s="22"/>
      <c r="L3" s="23"/>
      <c r="M3" s="23"/>
      <c r="N3" s="23"/>
      <c r="O3" s="44"/>
      <c r="P3" s="117"/>
      <c r="Q3" s="162"/>
      <c r="R3" s="166"/>
      <c r="S3" s="183">
        <v>1</v>
      </c>
      <c r="T3" s="168" t="s">
        <v>58</v>
      </c>
      <c r="U3" s="169" t="s">
        <v>5</v>
      </c>
      <c r="V3" s="169" t="s">
        <v>32</v>
      </c>
      <c r="W3" s="170">
        <v>14</v>
      </c>
      <c r="X3" s="171">
        <v>100.00151622905494</v>
      </c>
      <c r="Y3" s="172">
        <v>101.7700608934329</v>
      </c>
      <c r="Z3" s="244">
        <v>100.00005983436465</v>
      </c>
      <c r="AA3" s="185"/>
      <c r="AB3" s="183">
        <v>1</v>
      </c>
      <c r="AC3" s="168"/>
      <c r="AD3" s="169"/>
      <c r="AE3" s="169"/>
      <c r="AF3" s="170"/>
      <c r="AG3" s="171"/>
      <c r="AH3" s="172"/>
      <c r="AI3" s="172"/>
      <c r="AJ3" s="185"/>
      <c r="AK3" s="183">
        <v>1</v>
      </c>
      <c r="AL3" s="168"/>
      <c r="AM3" s="169"/>
      <c r="AN3" s="169"/>
      <c r="AO3" s="170"/>
      <c r="AP3" s="171"/>
      <c r="AQ3" s="172"/>
      <c r="AR3" s="244"/>
      <c r="AS3" s="185"/>
      <c r="AT3" s="183">
        <v>1</v>
      </c>
      <c r="AU3" s="168"/>
      <c r="AV3" s="169"/>
      <c r="AW3" s="169"/>
      <c r="AX3" s="170"/>
      <c r="AY3" s="171"/>
      <c r="AZ3" s="172"/>
      <c r="BA3" s="172"/>
    </row>
    <row r="4" spans="1:53" x14ac:dyDescent="0.2">
      <c r="A4" s="77">
        <v>2</v>
      </c>
      <c r="B4" s="225"/>
      <c r="C4" s="9"/>
      <c r="D4" s="9"/>
      <c r="E4" s="69"/>
      <c r="F4" s="70"/>
      <c r="G4" s="158"/>
      <c r="H4" s="157"/>
      <c r="I4" s="74"/>
      <c r="J4" s="77">
        <v>2</v>
      </c>
      <c r="K4" s="8"/>
      <c r="L4" s="9"/>
      <c r="M4" s="9"/>
      <c r="N4" s="9"/>
      <c r="O4" s="45"/>
      <c r="P4" s="93"/>
      <c r="Q4" s="160"/>
      <c r="R4" s="167"/>
      <c r="S4" s="183">
        <f>S3+1</f>
        <v>2</v>
      </c>
      <c r="T4" s="168" t="s">
        <v>221</v>
      </c>
      <c r="U4" s="169" t="s">
        <v>5</v>
      </c>
      <c r="V4" s="169" t="s">
        <v>32</v>
      </c>
      <c r="W4" s="170">
        <v>16</v>
      </c>
      <c r="X4" s="171">
        <v>95.598613577506455</v>
      </c>
      <c r="Y4" s="172">
        <v>99.096838544604083</v>
      </c>
      <c r="Z4" s="244">
        <v>97.373330593106118</v>
      </c>
      <c r="AA4" s="185"/>
      <c r="AB4" s="183">
        <v>2</v>
      </c>
      <c r="AC4" s="168"/>
      <c r="AD4" s="169"/>
      <c r="AE4" s="169"/>
      <c r="AF4" s="170"/>
      <c r="AG4" s="171"/>
      <c r="AH4" s="172"/>
      <c r="AI4" s="172"/>
      <c r="AJ4" s="185"/>
      <c r="AK4" s="183">
        <v>2</v>
      </c>
      <c r="AL4" s="168"/>
      <c r="AM4" s="169"/>
      <c r="AN4" s="169"/>
      <c r="AO4" s="170"/>
      <c r="AP4" s="171"/>
      <c r="AQ4" s="172"/>
      <c r="AR4" s="244"/>
      <c r="AS4" s="185"/>
      <c r="AT4" s="183">
        <v>2</v>
      </c>
      <c r="AU4" s="168"/>
      <c r="AV4" s="169"/>
      <c r="AW4" s="169"/>
      <c r="AX4" s="170"/>
      <c r="AY4" s="171"/>
      <c r="AZ4" s="172"/>
      <c r="BA4" s="172"/>
    </row>
    <row r="5" spans="1:53" x14ac:dyDescent="0.2">
      <c r="A5" s="77">
        <v>3</v>
      </c>
      <c r="B5" s="225"/>
      <c r="C5" s="9"/>
      <c r="D5" s="9"/>
      <c r="E5" s="69"/>
      <c r="F5" s="70"/>
      <c r="G5" s="158"/>
      <c r="H5" s="157"/>
      <c r="I5" s="74"/>
      <c r="J5" s="77">
        <v>3</v>
      </c>
      <c r="K5" s="8"/>
      <c r="L5" s="9"/>
      <c r="M5" s="9"/>
      <c r="N5" s="9"/>
      <c r="O5" s="45"/>
      <c r="P5" s="93"/>
      <c r="Q5" s="160"/>
      <c r="R5" s="167"/>
      <c r="S5" s="183">
        <f t="shared" ref="S5:S68" si="0">S4+1</f>
        <v>3</v>
      </c>
      <c r="T5" s="168" t="s">
        <v>249</v>
      </c>
      <c r="U5" s="169" t="s">
        <v>5</v>
      </c>
      <c r="V5" s="169" t="s">
        <v>37</v>
      </c>
      <c r="W5" s="170">
        <v>14</v>
      </c>
      <c r="X5" s="171">
        <v>93.765334327313028</v>
      </c>
      <c r="Y5" s="172">
        <v>96.077572665456103</v>
      </c>
      <c r="Z5" s="244">
        <v>94.406576265555771</v>
      </c>
      <c r="AA5" s="185"/>
      <c r="AB5" s="183">
        <v>3</v>
      </c>
      <c r="AC5" s="168"/>
      <c r="AD5" s="169"/>
      <c r="AE5" s="169"/>
      <c r="AF5" s="170"/>
      <c r="AG5" s="171"/>
      <c r="AH5" s="172"/>
      <c r="AI5" s="172"/>
      <c r="AJ5" s="185"/>
      <c r="AK5" s="183">
        <v>3</v>
      </c>
      <c r="AL5" s="168"/>
      <c r="AM5" s="169"/>
      <c r="AN5" s="169"/>
      <c r="AO5" s="170"/>
      <c r="AP5" s="171"/>
      <c r="AQ5" s="172"/>
      <c r="AR5" s="244"/>
      <c r="AS5" s="185"/>
      <c r="AT5" s="183">
        <v>3</v>
      </c>
      <c r="AU5" s="168"/>
      <c r="AV5" s="169"/>
      <c r="AW5" s="169"/>
      <c r="AX5" s="170"/>
      <c r="AY5" s="171"/>
      <c r="AZ5" s="172"/>
      <c r="BA5" s="172"/>
    </row>
    <row r="6" spans="1:53" x14ac:dyDescent="0.2">
      <c r="A6" s="77">
        <v>4</v>
      </c>
      <c r="B6" s="225"/>
      <c r="C6" s="9"/>
      <c r="D6" s="9"/>
      <c r="E6" s="69"/>
      <c r="F6" s="70"/>
      <c r="G6" s="158"/>
      <c r="H6" s="157"/>
      <c r="I6" s="74"/>
      <c r="J6" s="77">
        <v>4</v>
      </c>
      <c r="K6" s="8"/>
      <c r="L6" s="9"/>
      <c r="M6" s="9"/>
      <c r="N6" s="9"/>
      <c r="O6" s="45"/>
      <c r="P6" s="93"/>
      <c r="Q6" s="160"/>
      <c r="R6" s="167"/>
      <c r="S6" s="183">
        <f t="shared" si="0"/>
        <v>4</v>
      </c>
      <c r="T6" s="168" t="s">
        <v>247</v>
      </c>
      <c r="U6" s="169" t="s">
        <v>5</v>
      </c>
      <c r="V6" s="169" t="s">
        <v>32</v>
      </c>
      <c r="W6" s="170">
        <v>16</v>
      </c>
      <c r="X6" s="171">
        <v>89.257976658611497</v>
      </c>
      <c r="Y6" s="172">
        <v>95.896264255827674</v>
      </c>
      <c r="Z6" s="244">
        <v>94.228421200577458</v>
      </c>
      <c r="AA6" s="185"/>
      <c r="AB6" s="183">
        <v>4</v>
      </c>
      <c r="AC6" s="168"/>
      <c r="AD6" s="169"/>
      <c r="AE6" s="169"/>
      <c r="AF6" s="170"/>
      <c r="AG6" s="171"/>
      <c r="AH6" s="172"/>
      <c r="AI6" s="172"/>
      <c r="AJ6" s="185"/>
      <c r="AK6" s="183">
        <v>4</v>
      </c>
      <c r="AL6" s="168"/>
      <c r="AM6" s="169"/>
      <c r="AN6" s="169"/>
      <c r="AO6" s="170"/>
      <c r="AP6" s="171"/>
      <c r="AQ6" s="172"/>
      <c r="AR6" s="244"/>
      <c r="AS6" s="185"/>
      <c r="AT6" s="183">
        <v>4</v>
      </c>
      <c r="AU6" s="168"/>
      <c r="AV6" s="169"/>
      <c r="AW6" s="169"/>
      <c r="AX6" s="170"/>
      <c r="AY6" s="171"/>
      <c r="AZ6" s="172"/>
      <c r="BA6" s="172"/>
    </row>
    <row r="7" spans="1:53" x14ac:dyDescent="0.2">
      <c r="A7" s="77">
        <v>5</v>
      </c>
      <c r="B7" s="225"/>
      <c r="C7" s="9"/>
      <c r="D7" s="9"/>
      <c r="E7" s="69"/>
      <c r="F7" s="70"/>
      <c r="G7" s="158"/>
      <c r="H7" s="157"/>
      <c r="I7" s="74"/>
      <c r="J7" s="77">
        <v>5</v>
      </c>
      <c r="K7" s="8"/>
      <c r="L7" s="9"/>
      <c r="M7" s="9"/>
      <c r="N7" s="9"/>
      <c r="O7" s="45"/>
      <c r="P7" s="93"/>
      <c r="Q7" s="160"/>
      <c r="R7" s="167"/>
      <c r="S7" s="183">
        <f t="shared" si="0"/>
        <v>5</v>
      </c>
      <c r="T7" s="168" t="s">
        <v>216</v>
      </c>
      <c r="U7" s="169" t="s">
        <v>5</v>
      </c>
      <c r="V7" s="169" t="s">
        <v>34</v>
      </c>
      <c r="W7" s="170">
        <v>12</v>
      </c>
      <c r="X7" s="171">
        <v>90.310789689595381</v>
      </c>
      <c r="Y7" s="172">
        <v>93.181593215393349</v>
      </c>
      <c r="Z7" s="244">
        <v>91.560964149939423</v>
      </c>
      <c r="AA7" s="185"/>
      <c r="AB7" s="183">
        <v>5</v>
      </c>
      <c r="AC7" s="168"/>
      <c r="AD7" s="169"/>
      <c r="AE7" s="169"/>
      <c r="AF7" s="170"/>
      <c r="AG7" s="171"/>
      <c r="AH7" s="172"/>
      <c r="AI7" s="172"/>
      <c r="AJ7" s="185"/>
      <c r="AK7" s="183">
        <v>5</v>
      </c>
      <c r="AL7" s="168"/>
      <c r="AM7" s="169"/>
      <c r="AN7" s="169"/>
      <c r="AO7" s="170"/>
      <c r="AP7" s="171"/>
      <c r="AQ7" s="172"/>
      <c r="AR7" s="244"/>
      <c r="AS7" s="185"/>
      <c r="AT7" s="183">
        <v>5</v>
      </c>
      <c r="AU7" s="168"/>
      <c r="AV7" s="169"/>
      <c r="AW7" s="169"/>
      <c r="AX7" s="170"/>
      <c r="AY7" s="171"/>
      <c r="AZ7" s="172"/>
      <c r="BA7" s="172"/>
    </row>
    <row r="8" spans="1:53" x14ac:dyDescent="0.2">
      <c r="A8" s="77">
        <v>6</v>
      </c>
      <c r="B8" s="224"/>
      <c r="C8" s="9"/>
      <c r="D8" s="9"/>
      <c r="E8" s="9"/>
      <c r="F8" s="70"/>
      <c r="G8" s="158"/>
      <c r="H8" s="157"/>
      <c r="I8" s="74"/>
      <c r="J8" s="77">
        <v>6</v>
      </c>
      <c r="K8" s="8"/>
      <c r="L8" s="9"/>
      <c r="M8" s="9"/>
      <c r="N8" s="9"/>
      <c r="O8" s="45"/>
      <c r="P8" s="93"/>
      <c r="Q8" s="160"/>
      <c r="R8" s="167"/>
      <c r="S8" s="183">
        <f t="shared" si="0"/>
        <v>6</v>
      </c>
      <c r="T8" s="168" t="s">
        <v>228</v>
      </c>
      <c r="U8" s="169" t="s">
        <v>6</v>
      </c>
      <c r="V8" s="169" t="s">
        <v>32</v>
      </c>
      <c r="W8" s="170">
        <v>10</v>
      </c>
      <c r="X8" s="171">
        <v>78.993710558583317</v>
      </c>
      <c r="Y8" s="172">
        <v>92.503545392490921</v>
      </c>
      <c r="Z8" s="244">
        <v>90.894709042439743</v>
      </c>
      <c r="AA8" s="185"/>
      <c r="AB8" s="183">
        <v>6</v>
      </c>
      <c r="AC8" s="168"/>
      <c r="AD8" s="169"/>
      <c r="AE8" s="169"/>
      <c r="AF8" s="170"/>
      <c r="AG8" s="171"/>
      <c r="AH8" s="172"/>
      <c r="AI8" s="172"/>
      <c r="AJ8" s="185"/>
      <c r="AK8" s="183">
        <v>6</v>
      </c>
      <c r="AL8" s="168"/>
      <c r="AM8" s="169"/>
      <c r="AN8" s="169"/>
      <c r="AO8" s="170"/>
      <c r="AP8" s="171"/>
      <c r="AQ8" s="172"/>
      <c r="AR8" s="244"/>
      <c r="AS8" s="185"/>
      <c r="AT8" s="183">
        <v>6</v>
      </c>
      <c r="AU8" s="168"/>
      <c r="AV8" s="169"/>
      <c r="AW8" s="169"/>
      <c r="AX8" s="170"/>
      <c r="AY8" s="171"/>
      <c r="AZ8" s="172"/>
      <c r="BA8" s="172"/>
    </row>
    <row r="9" spans="1:53" x14ac:dyDescent="0.2">
      <c r="A9" s="77">
        <v>7</v>
      </c>
      <c r="B9" s="224"/>
      <c r="C9" s="9"/>
      <c r="D9" s="9"/>
      <c r="E9" s="9"/>
      <c r="F9" s="45"/>
      <c r="G9" s="93"/>
      <c r="H9" s="157"/>
      <c r="I9" s="74"/>
      <c r="J9" s="77">
        <v>7</v>
      </c>
      <c r="K9" s="8"/>
      <c r="L9" s="9"/>
      <c r="M9" s="9"/>
      <c r="N9" s="9"/>
      <c r="O9" s="45"/>
      <c r="P9" s="93"/>
      <c r="Q9" s="160"/>
      <c r="R9" s="167"/>
      <c r="S9" s="183">
        <f t="shared" si="0"/>
        <v>7</v>
      </c>
      <c r="T9" s="168" t="s">
        <v>345</v>
      </c>
      <c r="U9" s="169" t="s">
        <v>5</v>
      </c>
      <c r="V9" s="169" t="s">
        <v>51</v>
      </c>
      <c r="W9" s="170">
        <v>12</v>
      </c>
      <c r="X9" s="171">
        <v>0</v>
      </c>
      <c r="Y9" s="172">
        <v>90.703042052173686</v>
      </c>
      <c r="Z9" s="244">
        <v>89.125520342118193</v>
      </c>
      <c r="AA9" s="185"/>
      <c r="AB9" s="183">
        <v>7</v>
      </c>
      <c r="AC9" s="168"/>
      <c r="AD9" s="169"/>
      <c r="AE9" s="169"/>
      <c r="AF9" s="170"/>
      <c r="AG9" s="171"/>
      <c r="AH9" s="172"/>
      <c r="AI9" s="172"/>
      <c r="AJ9" s="185"/>
      <c r="AK9" s="183">
        <v>7</v>
      </c>
      <c r="AL9" s="168"/>
      <c r="AM9" s="169"/>
      <c r="AN9" s="169"/>
      <c r="AO9" s="170"/>
      <c r="AP9" s="171"/>
      <c r="AQ9" s="172"/>
      <c r="AR9" s="244"/>
      <c r="AS9" s="185"/>
      <c r="AT9" s="183">
        <v>7</v>
      </c>
      <c r="AU9" s="168"/>
      <c r="AV9" s="169"/>
      <c r="AW9" s="169"/>
      <c r="AX9" s="170"/>
      <c r="AY9" s="171"/>
      <c r="AZ9" s="172"/>
      <c r="BA9" s="172"/>
    </row>
    <row r="10" spans="1:53" x14ac:dyDescent="0.2">
      <c r="A10" s="77">
        <v>8</v>
      </c>
      <c r="B10" s="224"/>
      <c r="C10" s="9"/>
      <c r="D10" s="9"/>
      <c r="E10" s="69"/>
      <c r="F10" s="70"/>
      <c r="G10" s="158"/>
      <c r="H10" s="157"/>
      <c r="I10" s="74"/>
      <c r="J10" s="77">
        <v>8</v>
      </c>
      <c r="K10" s="8"/>
      <c r="L10" s="9"/>
      <c r="M10" s="9"/>
      <c r="N10" s="9"/>
      <c r="O10" s="45"/>
      <c r="P10" s="93"/>
      <c r="Q10" s="160"/>
      <c r="R10" s="167"/>
      <c r="S10" s="183">
        <f t="shared" si="0"/>
        <v>8</v>
      </c>
      <c r="T10" s="168" t="s">
        <v>259</v>
      </c>
      <c r="U10" s="169" t="s">
        <v>5</v>
      </c>
      <c r="V10" s="169" t="s">
        <v>32</v>
      </c>
      <c r="W10" s="170">
        <v>11</v>
      </c>
      <c r="X10" s="171">
        <v>84.895255654839019</v>
      </c>
      <c r="Y10" s="172">
        <v>88.562985378132652</v>
      </c>
      <c r="Z10" s="244">
        <v>87.022683873570458</v>
      </c>
      <c r="AA10" s="185"/>
      <c r="AB10" s="183">
        <v>8</v>
      </c>
      <c r="AC10" s="168"/>
      <c r="AD10" s="169"/>
      <c r="AE10" s="169"/>
      <c r="AF10" s="170"/>
      <c r="AG10" s="171"/>
      <c r="AH10" s="172"/>
      <c r="AI10" s="172"/>
      <c r="AJ10" s="185"/>
      <c r="AK10" s="183">
        <v>8</v>
      </c>
      <c r="AL10" s="168"/>
      <c r="AM10" s="169"/>
      <c r="AN10" s="169"/>
      <c r="AO10" s="170"/>
      <c r="AP10" s="171"/>
      <c r="AQ10" s="172"/>
      <c r="AR10" s="244"/>
      <c r="AS10" s="185"/>
      <c r="AT10" s="183">
        <v>8</v>
      </c>
      <c r="AU10" s="168"/>
      <c r="AV10" s="169"/>
      <c r="AW10" s="169"/>
      <c r="AX10" s="170"/>
      <c r="AY10" s="171"/>
      <c r="AZ10" s="172"/>
      <c r="BA10" s="172"/>
    </row>
    <row r="11" spans="1:53" x14ac:dyDescent="0.2">
      <c r="A11" s="77">
        <v>9</v>
      </c>
      <c r="B11" s="224"/>
      <c r="C11" s="9"/>
      <c r="D11" s="9"/>
      <c r="E11" s="69"/>
      <c r="F11" s="70"/>
      <c r="G11" s="74"/>
      <c r="H11" s="157"/>
      <c r="I11" s="74"/>
      <c r="J11" s="77">
        <v>9</v>
      </c>
      <c r="K11" s="8"/>
      <c r="L11" s="9"/>
      <c r="M11" s="9"/>
      <c r="N11" s="9"/>
      <c r="O11" s="45"/>
      <c r="P11" s="93"/>
      <c r="Q11" s="160"/>
      <c r="R11" s="167"/>
      <c r="S11" s="183">
        <f t="shared" si="0"/>
        <v>9</v>
      </c>
      <c r="T11" s="168" t="s">
        <v>215</v>
      </c>
      <c r="U11" s="169" t="s">
        <v>5</v>
      </c>
      <c r="V11" s="169" t="s">
        <v>36</v>
      </c>
      <c r="W11" s="170">
        <v>4</v>
      </c>
      <c r="X11" s="171">
        <v>88.167947414731699</v>
      </c>
      <c r="Y11" s="172">
        <v>87.292937793180371</v>
      </c>
      <c r="Z11" s="244">
        <v>85.774725157885797</v>
      </c>
      <c r="AA11" s="185"/>
      <c r="AB11" s="183">
        <v>9</v>
      </c>
      <c r="AC11" s="168"/>
      <c r="AD11" s="169"/>
      <c r="AE11" s="169"/>
      <c r="AF11" s="170"/>
      <c r="AG11" s="171"/>
      <c r="AH11" s="172"/>
      <c r="AI11" s="172"/>
      <c r="AJ11" s="185"/>
      <c r="AK11" s="183">
        <v>9</v>
      </c>
      <c r="AL11" s="168"/>
      <c r="AM11" s="169"/>
      <c r="AN11" s="169"/>
      <c r="AO11" s="170"/>
      <c r="AP11" s="171"/>
      <c r="AQ11" s="172"/>
      <c r="AR11" s="244"/>
      <c r="AS11" s="185"/>
      <c r="AT11" s="183">
        <v>9</v>
      </c>
      <c r="AU11" s="168"/>
      <c r="AV11" s="169"/>
      <c r="AW11" s="169"/>
      <c r="AX11" s="170"/>
      <c r="AY11" s="171"/>
      <c r="AZ11" s="172"/>
      <c r="BA11" s="172"/>
    </row>
    <row r="12" spans="1:53" x14ac:dyDescent="0.2">
      <c r="A12" s="77">
        <v>10</v>
      </c>
      <c r="B12" s="225"/>
      <c r="C12" s="9"/>
      <c r="D12" s="9"/>
      <c r="E12" s="69"/>
      <c r="F12" s="70"/>
      <c r="G12" s="158"/>
      <c r="H12" s="157"/>
      <c r="I12" s="74"/>
      <c r="J12" s="77">
        <v>10</v>
      </c>
      <c r="K12" s="8"/>
      <c r="L12" s="9"/>
      <c r="M12" s="9"/>
      <c r="N12" s="9"/>
      <c r="O12" s="45"/>
      <c r="P12" s="93"/>
      <c r="Q12" s="160"/>
      <c r="R12" s="167"/>
      <c r="S12" s="183">
        <f t="shared" si="0"/>
        <v>10</v>
      </c>
      <c r="T12" s="168" t="s">
        <v>231</v>
      </c>
      <c r="U12" s="169" t="s">
        <v>5</v>
      </c>
      <c r="V12" s="169" t="s">
        <v>31</v>
      </c>
      <c r="W12" s="170">
        <v>5</v>
      </c>
      <c r="X12" s="171">
        <v>83.324415222319843</v>
      </c>
      <c r="Y12" s="172">
        <v>85.325968996449333</v>
      </c>
      <c r="Z12" s="244">
        <v>83.841966194801358</v>
      </c>
      <c r="AA12" s="185"/>
      <c r="AB12" s="183">
        <v>10</v>
      </c>
      <c r="AC12" s="168"/>
      <c r="AD12" s="169"/>
      <c r="AE12" s="169"/>
      <c r="AF12" s="170"/>
      <c r="AG12" s="171"/>
      <c r="AH12" s="172"/>
      <c r="AI12" s="172"/>
      <c r="AJ12" s="185"/>
      <c r="AK12" s="183">
        <v>10</v>
      </c>
      <c r="AL12" s="168"/>
      <c r="AM12" s="169"/>
      <c r="AN12" s="169"/>
      <c r="AO12" s="170"/>
      <c r="AP12" s="171"/>
      <c r="AQ12" s="172"/>
      <c r="AR12" s="244"/>
      <c r="AS12" s="185"/>
      <c r="AT12" s="183">
        <v>10</v>
      </c>
      <c r="AU12" s="168"/>
      <c r="AV12" s="169"/>
      <c r="AW12" s="169"/>
      <c r="AX12" s="170"/>
      <c r="AY12" s="171"/>
      <c r="AZ12" s="172"/>
      <c r="BA12" s="172"/>
    </row>
    <row r="13" spans="1:53" x14ac:dyDescent="0.2">
      <c r="A13" s="77">
        <v>11</v>
      </c>
      <c r="B13" s="225"/>
      <c r="C13" s="9"/>
      <c r="D13" s="9"/>
      <c r="E13" s="69"/>
      <c r="F13" s="70"/>
      <c r="G13" s="158"/>
      <c r="H13" s="157"/>
      <c r="I13" s="74"/>
      <c r="J13" s="77">
        <v>11</v>
      </c>
      <c r="K13" s="8"/>
      <c r="L13" s="9"/>
      <c r="M13" s="9"/>
      <c r="N13" s="9"/>
      <c r="O13" s="45"/>
      <c r="P13" s="93"/>
      <c r="Q13" s="160"/>
      <c r="R13" s="167"/>
      <c r="S13" s="183">
        <f t="shared" si="0"/>
        <v>11</v>
      </c>
      <c r="T13" s="168" t="s">
        <v>346</v>
      </c>
      <c r="U13" s="169" t="s">
        <v>5</v>
      </c>
      <c r="V13" s="169" t="s">
        <v>32</v>
      </c>
      <c r="W13" s="170">
        <v>6</v>
      </c>
      <c r="X13" s="171">
        <v>73.541805346681699</v>
      </c>
      <c r="Y13" s="172">
        <v>82.305540558415331</v>
      </c>
      <c r="Z13" s="244">
        <v>80.874069527773727</v>
      </c>
      <c r="AA13" s="185"/>
      <c r="AB13" s="183">
        <v>11</v>
      </c>
      <c r="AC13" s="168"/>
      <c r="AD13" s="169"/>
      <c r="AE13" s="169"/>
      <c r="AF13" s="170"/>
      <c r="AG13" s="171"/>
      <c r="AH13" s="172"/>
      <c r="AI13" s="172"/>
      <c r="AJ13" s="185"/>
      <c r="AK13" s="183">
        <v>11</v>
      </c>
      <c r="AL13" s="168"/>
      <c r="AM13" s="169"/>
      <c r="AN13" s="169"/>
      <c r="AO13" s="170"/>
      <c r="AP13" s="171"/>
      <c r="AQ13" s="172"/>
      <c r="AR13" s="244"/>
      <c r="AS13" s="185"/>
      <c r="AT13" s="183">
        <v>11</v>
      </c>
      <c r="AU13" s="168"/>
      <c r="AV13" s="169"/>
      <c r="AW13" s="169"/>
      <c r="AX13" s="170"/>
      <c r="AY13" s="171"/>
      <c r="AZ13" s="172"/>
      <c r="BA13" s="172"/>
    </row>
    <row r="14" spans="1:53" x14ac:dyDescent="0.2">
      <c r="A14" s="77">
        <v>12</v>
      </c>
      <c r="B14" s="224"/>
      <c r="C14" s="9"/>
      <c r="D14" s="9"/>
      <c r="E14" s="69"/>
      <c r="F14" s="70"/>
      <c r="G14" s="158"/>
      <c r="H14" s="157"/>
      <c r="I14" s="74"/>
      <c r="J14" s="77">
        <v>12</v>
      </c>
      <c r="K14" s="8"/>
      <c r="L14" s="9"/>
      <c r="M14" s="9"/>
      <c r="N14" s="9"/>
      <c r="O14" s="45"/>
      <c r="P14" s="93"/>
      <c r="Q14" s="160"/>
      <c r="R14" s="167"/>
      <c r="S14" s="183">
        <f t="shared" si="0"/>
        <v>12</v>
      </c>
      <c r="T14" s="168" t="s">
        <v>347</v>
      </c>
      <c r="U14" s="169"/>
      <c r="V14" s="169" t="s">
        <v>35</v>
      </c>
      <c r="W14" s="170">
        <v>9</v>
      </c>
      <c r="X14" s="171">
        <v>0</v>
      </c>
      <c r="Y14" s="172">
        <v>81.247384978923733</v>
      </c>
      <c r="Z14" s="244">
        <v>79.834317558144576</v>
      </c>
      <c r="AA14" s="185"/>
      <c r="AB14" s="183">
        <v>12</v>
      </c>
      <c r="AC14" s="168"/>
      <c r="AD14" s="169"/>
      <c r="AE14" s="169"/>
      <c r="AF14" s="170"/>
      <c r="AG14" s="171"/>
      <c r="AH14" s="172"/>
      <c r="AI14" s="172"/>
      <c r="AJ14" s="185"/>
      <c r="AK14" s="183">
        <v>12</v>
      </c>
      <c r="AL14" s="168"/>
      <c r="AM14" s="169"/>
      <c r="AN14" s="169"/>
      <c r="AO14" s="170"/>
      <c r="AP14" s="171"/>
      <c r="AQ14" s="172"/>
      <c r="AR14" s="244"/>
      <c r="AS14" s="185"/>
      <c r="AT14" s="183">
        <v>12</v>
      </c>
      <c r="AU14" s="168"/>
      <c r="AV14" s="169"/>
      <c r="AW14" s="169"/>
      <c r="AX14" s="170"/>
      <c r="AY14" s="171"/>
      <c r="AZ14" s="172"/>
      <c r="BA14" s="172"/>
    </row>
    <row r="15" spans="1:53" x14ac:dyDescent="0.2">
      <c r="A15" s="77">
        <v>13</v>
      </c>
      <c r="B15" s="224"/>
      <c r="C15" s="9"/>
      <c r="D15" s="9"/>
      <c r="E15" s="69"/>
      <c r="F15" s="45"/>
      <c r="G15" s="93"/>
      <c r="H15" s="157"/>
      <c r="I15" s="74"/>
      <c r="J15" s="77">
        <v>13</v>
      </c>
      <c r="K15" s="8"/>
      <c r="L15" s="9"/>
      <c r="M15" s="9"/>
      <c r="N15" s="9"/>
      <c r="O15" s="45"/>
      <c r="P15" s="93"/>
      <c r="Q15" s="160"/>
      <c r="R15" s="167"/>
      <c r="S15" s="183">
        <f t="shared" si="0"/>
        <v>13</v>
      </c>
      <c r="T15" s="168" t="s">
        <v>436</v>
      </c>
      <c r="U15" s="169" t="s">
        <v>5</v>
      </c>
      <c r="V15" s="169" t="s">
        <v>37</v>
      </c>
      <c r="W15" s="170">
        <v>1</v>
      </c>
      <c r="X15" s="171">
        <v>0</v>
      </c>
      <c r="Y15" s="172">
        <v>79.542289101528539</v>
      </c>
      <c r="Z15" s="244">
        <v>78.15887697900024</v>
      </c>
      <c r="AA15" s="185"/>
      <c r="AB15" s="183">
        <v>13</v>
      </c>
      <c r="AC15" s="168"/>
      <c r="AD15" s="169"/>
      <c r="AE15" s="169"/>
      <c r="AF15" s="170"/>
      <c r="AG15" s="171"/>
      <c r="AH15" s="172"/>
      <c r="AI15" s="172"/>
      <c r="AJ15" s="185"/>
      <c r="AK15" s="183">
        <v>13</v>
      </c>
      <c r="AL15" s="168"/>
      <c r="AM15" s="169"/>
      <c r="AN15" s="169"/>
      <c r="AO15" s="170"/>
      <c r="AP15" s="171"/>
      <c r="AQ15" s="172"/>
      <c r="AR15" s="244"/>
      <c r="AS15" s="185"/>
      <c r="AT15" s="183">
        <v>13</v>
      </c>
      <c r="AU15" s="168"/>
      <c r="AV15" s="169"/>
      <c r="AW15" s="169"/>
      <c r="AX15" s="170"/>
      <c r="AY15" s="171"/>
      <c r="AZ15" s="172"/>
      <c r="BA15" s="172"/>
    </row>
    <row r="16" spans="1:53" x14ac:dyDescent="0.2">
      <c r="A16" s="77">
        <v>14</v>
      </c>
      <c r="B16" s="224"/>
      <c r="C16" s="9"/>
      <c r="D16" s="9"/>
      <c r="E16" s="69"/>
      <c r="F16" s="70"/>
      <c r="G16" s="158"/>
      <c r="H16" s="157"/>
      <c r="I16" s="74"/>
      <c r="J16" s="77">
        <v>14</v>
      </c>
      <c r="K16" s="8"/>
      <c r="L16" s="9"/>
      <c r="M16" s="9"/>
      <c r="N16" s="9"/>
      <c r="O16" s="45"/>
      <c r="P16" s="93"/>
      <c r="Q16" s="160"/>
      <c r="R16" s="167"/>
      <c r="S16" s="183">
        <f t="shared" si="0"/>
        <v>14</v>
      </c>
      <c r="T16" s="168" t="s">
        <v>223</v>
      </c>
      <c r="U16" s="169" t="s">
        <v>5</v>
      </c>
      <c r="V16" s="169" t="s">
        <v>31</v>
      </c>
      <c r="W16" s="170">
        <v>7</v>
      </c>
      <c r="X16" s="171">
        <v>72.034864861933698</v>
      </c>
      <c r="Y16" s="172">
        <v>78.297495912332877</v>
      </c>
      <c r="Z16" s="244">
        <v>76.935733430611066</v>
      </c>
      <c r="AA16" s="185"/>
      <c r="AB16" s="183">
        <v>14</v>
      </c>
      <c r="AC16" s="168"/>
      <c r="AD16" s="169"/>
      <c r="AE16" s="169"/>
      <c r="AF16" s="170"/>
      <c r="AG16" s="171"/>
      <c r="AH16" s="172"/>
      <c r="AI16" s="172"/>
      <c r="AJ16" s="185"/>
      <c r="AK16" s="183">
        <v>14</v>
      </c>
      <c r="AL16" s="168"/>
      <c r="AM16" s="169"/>
      <c r="AN16" s="169"/>
      <c r="AO16" s="170"/>
      <c r="AP16" s="171"/>
      <c r="AQ16" s="172"/>
      <c r="AR16" s="244"/>
      <c r="AS16" s="185"/>
      <c r="AT16" s="183">
        <v>14</v>
      </c>
      <c r="AU16" s="168"/>
      <c r="AV16" s="169"/>
      <c r="AW16" s="169"/>
      <c r="AX16" s="170"/>
      <c r="AY16" s="171"/>
      <c r="AZ16" s="172"/>
      <c r="BA16" s="172"/>
    </row>
    <row r="17" spans="1:53" x14ac:dyDescent="0.2">
      <c r="A17" s="77">
        <v>15</v>
      </c>
      <c r="B17" s="224"/>
      <c r="C17" s="9"/>
      <c r="D17" s="9"/>
      <c r="E17" s="69"/>
      <c r="F17" s="70"/>
      <c r="G17" s="74"/>
      <c r="H17" s="157"/>
      <c r="I17" s="74"/>
      <c r="J17" s="77">
        <v>15</v>
      </c>
      <c r="K17" s="8"/>
      <c r="L17" s="9"/>
      <c r="M17" s="9"/>
      <c r="N17" s="9"/>
      <c r="O17" s="45"/>
      <c r="P17" s="93"/>
      <c r="Q17" s="160"/>
      <c r="R17" s="167"/>
      <c r="S17" s="183">
        <f t="shared" si="0"/>
        <v>15</v>
      </c>
      <c r="T17" s="168" t="s">
        <v>509</v>
      </c>
      <c r="U17" s="169" t="s">
        <v>5</v>
      </c>
      <c r="V17" s="169" t="s">
        <v>41</v>
      </c>
      <c r="W17" s="170">
        <v>3</v>
      </c>
      <c r="X17" s="171">
        <v>0</v>
      </c>
      <c r="Y17" s="172">
        <v>77.201705231601309</v>
      </c>
      <c r="Z17" s="244">
        <v>75.859000915398752</v>
      </c>
      <c r="AA17" s="185"/>
      <c r="AB17" s="183">
        <v>15</v>
      </c>
      <c r="AC17" s="168"/>
      <c r="AD17" s="169"/>
      <c r="AE17" s="169"/>
      <c r="AF17" s="170"/>
      <c r="AG17" s="171"/>
      <c r="AH17" s="172"/>
      <c r="AI17" s="172"/>
      <c r="AJ17" s="185"/>
      <c r="AK17" s="183">
        <v>15</v>
      </c>
      <c r="AL17" s="168"/>
      <c r="AM17" s="169"/>
      <c r="AN17" s="169"/>
      <c r="AO17" s="170"/>
      <c r="AP17" s="171"/>
      <c r="AQ17" s="172"/>
      <c r="AR17" s="244"/>
      <c r="AS17" s="185"/>
      <c r="AT17" s="183">
        <v>15</v>
      </c>
      <c r="AU17" s="168"/>
      <c r="AV17" s="169"/>
      <c r="AW17" s="169"/>
      <c r="AX17" s="170"/>
      <c r="AY17" s="171"/>
      <c r="AZ17" s="172"/>
      <c r="BA17" s="172"/>
    </row>
    <row r="18" spans="1:53" x14ac:dyDescent="0.2">
      <c r="A18" s="77">
        <v>16</v>
      </c>
      <c r="B18" s="224"/>
      <c r="C18" s="9"/>
      <c r="D18" s="9"/>
      <c r="E18" s="69"/>
      <c r="F18" s="70"/>
      <c r="G18" s="158"/>
      <c r="H18" s="157"/>
      <c r="I18" s="74"/>
      <c r="J18" s="77">
        <v>16</v>
      </c>
      <c r="K18" s="8"/>
      <c r="L18" s="9"/>
      <c r="M18" s="9"/>
      <c r="N18" s="9"/>
      <c r="O18" s="45"/>
      <c r="P18" s="93"/>
      <c r="Q18" s="160"/>
      <c r="R18" s="167"/>
      <c r="S18" s="183">
        <f t="shared" si="0"/>
        <v>16</v>
      </c>
      <c r="T18" s="168" t="s">
        <v>451</v>
      </c>
      <c r="U18" s="169" t="s">
        <v>6</v>
      </c>
      <c r="V18" s="169" t="s">
        <v>48</v>
      </c>
      <c r="W18" s="170">
        <v>11</v>
      </c>
      <c r="X18" s="171">
        <v>72.602683207822508</v>
      </c>
      <c r="Y18" s="172">
        <v>75.968943362326698</v>
      </c>
      <c r="Z18" s="244">
        <v>74.647679436304117</v>
      </c>
      <c r="AA18" s="185"/>
      <c r="AB18" s="183">
        <v>16</v>
      </c>
      <c r="AC18" s="168"/>
      <c r="AD18" s="169"/>
      <c r="AE18" s="169"/>
      <c r="AF18" s="170"/>
      <c r="AG18" s="171"/>
      <c r="AH18" s="172"/>
      <c r="AI18" s="172"/>
      <c r="AJ18" s="185"/>
      <c r="AK18" s="183">
        <v>16</v>
      </c>
      <c r="AL18" s="168"/>
      <c r="AM18" s="169"/>
      <c r="AN18" s="169"/>
      <c r="AO18" s="170"/>
      <c r="AP18" s="171"/>
      <c r="AQ18" s="172"/>
      <c r="AR18" s="244"/>
      <c r="AS18" s="185"/>
      <c r="AT18" s="183">
        <v>16</v>
      </c>
      <c r="AU18" s="168"/>
      <c r="AV18" s="169"/>
      <c r="AW18" s="169"/>
      <c r="AX18" s="170"/>
      <c r="AY18" s="171"/>
      <c r="AZ18" s="172"/>
      <c r="BA18" s="172"/>
    </row>
    <row r="19" spans="1:53" x14ac:dyDescent="0.2">
      <c r="A19" s="77">
        <v>17</v>
      </c>
      <c r="B19" s="224"/>
      <c r="C19" s="9"/>
      <c r="D19" s="9"/>
      <c r="E19" s="69"/>
      <c r="F19" s="45"/>
      <c r="G19" s="93"/>
      <c r="H19" s="157"/>
      <c r="I19" s="74"/>
      <c r="J19" s="77">
        <v>17</v>
      </c>
      <c r="K19" s="8"/>
      <c r="L19" s="9"/>
      <c r="M19" s="9"/>
      <c r="N19" s="9"/>
      <c r="O19" s="45"/>
      <c r="P19" s="93"/>
      <c r="Q19" s="160"/>
      <c r="R19" s="167"/>
      <c r="S19" s="183">
        <f t="shared" si="0"/>
        <v>17</v>
      </c>
      <c r="T19" s="168" t="s">
        <v>227</v>
      </c>
      <c r="U19" s="169" t="s">
        <v>6</v>
      </c>
      <c r="V19" s="169" t="s">
        <v>31</v>
      </c>
      <c r="W19" s="170">
        <v>2</v>
      </c>
      <c r="X19" s="171">
        <v>73.569229292987899</v>
      </c>
      <c r="Y19" s="172">
        <v>75.142356342418267</v>
      </c>
      <c r="Z19" s="244">
        <v>73.835468549099218</v>
      </c>
      <c r="AA19" s="185"/>
      <c r="AB19" s="183">
        <v>17</v>
      </c>
      <c r="AC19" s="168"/>
      <c r="AD19" s="169"/>
      <c r="AE19" s="169"/>
      <c r="AF19" s="170"/>
      <c r="AG19" s="171"/>
      <c r="AH19" s="172"/>
      <c r="AI19" s="172"/>
      <c r="AJ19" s="185"/>
      <c r="AK19" s="183">
        <v>17</v>
      </c>
      <c r="AL19" s="168"/>
      <c r="AM19" s="169"/>
      <c r="AN19" s="169"/>
      <c r="AO19" s="170"/>
      <c r="AP19" s="171"/>
      <c r="AQ19" s="172"/>
      <c r="AR19" s="244"/>
      <c r="AS19" s="185"/>
      <c r="AT19" s="183">
        <v>17</v>
      </c>
      <c r="AU19" s="168"/>
      <c r="AV19" s="169"/>
      <c r="AW19" s="169"/>
      <c r="AX19" s="170"/>
      <c r="AY19" s="171"/>
      <c r="AZ19" s="172"/>
      <c r="BA19" s="172"/>
    </row>
    <row r="20" spans="1:53" x14ac:dyDescent="0.2">
      <c r="A20" s="77">
        <v>18</v>
      </c>
      <c r="B20" s="225"/>
      <c r="C20" s="9"/>
      <c r="D20" s="9"/>
      <c r="E20" s="69"/>
      <c r="F20" s="70"/>
      <c r="G20" s="158"/>
      <c r="H20" s="157"/>
      <c r="I20" s="74"/>
      <c r="J20" s="77">
        <v>18</v>
      </c>
      <c r="K20" s="8"/>
      <c r="L20" s="9"/>
      <c r="M20" s="9"/>
      <c r="N20" s="9"/>
      <c r="O20" s="45"/>
      <c r="P20" s="93"/>
      <c r="Q20" s="160"/>
      <c r="R20" s="167"/>
      <c r="S20" s="183">
        <f t="shared" si="0"/>
        <v>18</v>
      </c>
      <c r="T20" s="168" t="s">
        <v>243</v>
      </c>
      <c r="U20" s="169" t="s">
        <v>6</v>
      </c>
      <c r="V20" s="169" t="s">
        <v>31</v>
      </c>
      <c r="W20" s="170">
        <v>10</v>
      </c>
      <c r="X20" s="171">
        <v>67.495156583109292</v>
      </c>
      <c r="Y20" s="172">
        <v>74.080856790699869</v>
      </c>
      <c r="Z20" s="244">
        <v>72.792430766139205</v>
      </c>
      <c r="AA20" s="185"/>
      <c r="AB20" s="183">
        <v>18</v>
      </c>
      <c r="AC20" s="168"/>
      <c r="AD20" s="169"/>
      <c r="AE20" s="169"/>
      <c r="AF20" s="170"/>
      <c r="AG20" s="171"/>
      <c r="AH20" s="172"/>
      <c r="AI20" s="172"/>
      <c r="AJ20" s="185"/>
      <c r="AK20" s="183">
        <v>18</v>
      </c>
      <c r="AL20" s="168"/>
      <c r="AM20" s="169"/>
      <c r="AN20" s="169"/>
      <c r="AO20" s="170"/>
      <c r="AP20" s="171"/>
      <c r="AQ20" s="172"/>
      <c r="AR20" s="244"/>
      <c r="AS20" s="185"/>
      <c r="AT20" s="183">
        <v>18</v>
      </c>
      <c r="AU20" s="168"/>
      <c r="AV20" s="169"/>
      <c r="AW20" s="169"/>
      <c r="AX20" s="170"/>
      <c r="AY20" s="171"/>
      <c r="AZ20" s="172"/>
      <c r="BA20" s="172"/>
    </row>
    <row r="21" spans="1:53" x14ac:dyDescent="0.2">
      <c r="A21" s="77">
        <v>19</v>
      </c>
      <c r="B21" s="225"/>
      <c r="C21" s="9"/>
      <c r="D21" s="9"/>
      <c r="E21" s="69"/>
      <c r="F21" s="70"/>
      <c r="G21" s="158"/>
      <c r="H21" s="157"/>
      <c r="I21" s="74"/>
      <c r="J21" s="77">
        <v>19</v>
      </c>
      <c r="K21" s="8"/>
      <c r="L21" s="9"/>
      <c r="M21" s="9"/>
      <c r="N21" s="9"/>
      <c r="O21" s="45"/>
      <c r="P21" s="93"/>
      <c r="Q21" s="160"/>
      <c r="R21" s="167"/>
      <c r="S21" s="183">
        <f t="shared" si="0"/>
        <v>19</v>
      </c>
      <c r="T21" s="168" t="s">
        <v>242</v>
      </c>
      <c r="U21" s="169" t="s">
        <v>6</v>
      </c>
      <c r="V21" s="169" t="s">
        <v>30</v>
      </c>
      <c r="W21" s="170">
        <v>11</v>
      </c>
      <c r="X21" s="171">
        <v>70.165201512894257</v>
      </c>
      <c r="Y21" s="172">
        <v>72.474070539483165</v>
      </c>
      <c r="Z21" s="244">
        <v>71.213589996544329</v>
      </c>
      <c r="AA21" s="185"/>
      <c r="AB21" s="183">
        <v>19</v>
      </c>
      <c r="AC21" s="168"/>
      <c r="AD21" s="169"/>
      <c r="AE21" s="169"/>
      <c r="AF21" s="170"/>
      <c r="AG21" s="171"/>
      <c r="AH21" s="172"/>
      <c r="AI21" s="172"/>
      <c r="AJ21" s="185"/>
      <c r="AK21" s="183">
        <v>19</v>
      </c>
      <c r="AL21" s="168"/>
      <c r="AM21" s="169"/>
      <c r="AN21" s="169"/>
      <c r="AO21" s="170"/>
      <c r="AP21" s="171"/>
      <c r="AQ21" s="172"/>
      <c r="AR21" s="244"/>
      <c r="AS21" s="185"/>
      <c r="AT21" s="183">
        <v>19</v>
      </c>
      <c r="AU21" s="168"/>
      <c r="AV21" s="169"/>
      <c r="AW21" s="169"/>
      <c r="AX21" s="170"/>
      <c r="AY21" s="171"/>
      <c r="AZ21" s="172"/>
      <c r="BA21" s="172"/>
    </row>
    <row r="22" spans="1:53" x14ac:dyDescent="0.2">
      <c r="A22" s="77">
        <v>20</v>
      </c>
      <c r="B22" s="224"/>
      <c r="C22" s="9"/>
      <c r="D22" s="9"/>
      <c r="E22" s="69"/>
      <c r="F22" s="70"/>
      <c r="G22" s="158"/>
      <c r="H22" s="157"/>
      <c r="I22" s="74"/>
      <c r="J22" s="77">
        <v>20</v>
      </c>
      <c r="K22" s="8"/>
      <c r="L22" s="9"/>
      <c r="M22" s="9"/>
      <c r="N22" s="9"/>
      <c r="O22" s="45"/>
      <c r="P22" s="93"/>
      <c r="Q22" s="160"/>
      <c r="R22" s="167"/>
      <c r="S22" s="183">
        <f t="shared" si="0"/>
        <v>20</v>
      </c>
      <c r="T22" s="168" t="s">
        <v>245</v>
      </c>
      <c r="U22" s="169" t="s">
        <v>6</v>
      </c>
      <c r="V22" s="169" t="s">
        <v>32</v>
      </c>
      <c r="W22" s="169">
        <v>10</v>
      </c>
      <c r="X22" s="171">
        <v>69.141344102881888</v>
      </c>
      <c r="Y22" s="171">
        <v>72.310346584809281</v>
      </c>
      <c r="Z22" s="244">
        <v>71.052713554887774</v>
      </c>
      <c r="AA22" s="185"/>
      <c r="AB22" s="183">
        <v>20</v>
      </c>
      <c r="AC22" s="168"/>
      <c r="AD22" s="169"/>
      <c r="AE22" s="169"/>
      <c r="AF22" s="170"/>
      <c r="AG22" s="171"/>
      <c r="AH22" s="172"/>
      <c r="AI22" s="172"/>
      <c r="AJ22" s="185"/>
      <c r="AK22" s="183">
        <v>20</v>
      </c>
      <c r="AL22" s="168"/>
      <c r="AM22" s="169"/>
      <c r="AN22" s="169"/>
      <c r="AO22" s="170"/>
      <c r="AP22" s="171"/>
      <c r="AQ22" s="172"/>
      <c r="AR22" s="244"/>
      <c r="AS22" s="185"/>
      <c r="AT22" s="183">
        <v>20</v>
      </c>
      <c r="AU22" s="168"/>
      <c r="AV22" s="169"/>
      <c r="AW22" s="169"/>
      <c r="AX22" s="170"/>
      <c r="AY22" s="171"/>
      <c r="AZ22" s="172"/>
      <c r="BA22" s="172"/>
    </row>
    <row r="23" spans="1:53" x14ac:dyDescent="0.2">
      <c r="A23" s="77">
        <v>21</v>
      </c>
      <c r="B23" s="224"/>
      <c r="C23" s="9"/>
      <c r="D23" s="9"/>
      <c r="E23" s="69"/>
      <c r="F23" s="70"/>
      <c r="G23" s="74"/>
      <c r="H23" s="157"/>
      <c r="I23" s="74"/>
      <c r="J23" s="77">
        <v>21</v>
      </c>
      <c r="K23" s="8"/>
      <c r="L23" s="9"/>
      <c r="M23" s="9"/>
      <c r="N23" s="9"/>
      <c r="O23" s="45"/>
      <c r="P23" s="93"/>
      <c r="Q23" s="160"/>
      <c r="R23" s="167"/>
      <c r="S23" s="183">
        <f t="shared" si="0"/>
        <v>21</v>
      </c>
      <c r="T23" s="168" t="s">
        <v>252</v>
      </c>
      <c r="U23" s="169" t="s">
        <v>6</v>
      </c>
      <c r="V23" s="169" t="s">
        <v>41</v>
      </c>
      <c r="W23" s="170">
        <v>5</v>
      </c>
      <c r="X23" s="171">
        <v>66.367715995604314</v>
      </c>
      <c r="Y23" s="172">
        <v>70.056828958059299</v>
      </c>
      <c r="Z23" s="244">
        <v>68.838389464536988</v>
      </c>
      <c r="AA23" s="185"/>
      <c r="AB23" s="183">
        <v>21</v>
      </c>
      <c r="AC23" s="168"/>
      <c r="AD23" s="169"/>
      <c r="AE23" s="169"/>
      <c r="AF23" s="170"/>
      <c r="AG23" s="171"/>
      <c r="AH23" s="172"/>
      <c r="AI23" s="172"/>
      <c r="AJ23" s="185"/>
      <c r="AK23" s="183">
        <v>21</v>
      </c>
      <c r="AL23" s="168"/>
      <c r="AM23" s="169"/>
      <c r="AN23" s="169"/>
      <c r="AO23" s="170"/>
      <c r="AP23" s="171"/>
      <c r="AQ23" s="172"/>
      <c r="AR23" s="244"/>
      <c r="AS23" s="185"/>
      <c r="AT23" s="183">
        <v>21</v>
      </c>
      <c r="AU23" s="168"/>
      <c r="AV23" s="169"/>
      <c r="AW23" s="169"/>
      <c r="AX23" s="170"/>
      <c r="AY23" s="171"/>
      <c r="AZ23" s="172"/>
      <c r="BA23" s="172"/>
    </row>
    <row r="24" spans="1:53" x14ac:dyDescent="0.2">
      <c r="A24" s="77">
        <v>22</v>
      </c>
      <c r="B24" s="224"/>
      <c r="C24" s="9"/>
      <c r="D24" s="9"/>
      <c r="E24" s="69"/>
      <c r="F24" s="70"/>
      <c r="G24" s="74"/>
      <c r="H24" s="157"/>
      <c r="I24" s="74"/>
      <c r="J24" s="77">
        <v>22</v>
      </c>
      <c r="K24" s="8"/>
      <c r="L24" s="9"/>
      <c r="M24" s="9"/>
      <c r="N24" s="9"/>
      <c r="O24" s="45"/>
      <c r="P24" s="93"/>
      <c r="Q24" s="160"/>
      <c r="R24" s="167"/>
      <c r="S24" s="183">
        <f t="shared" si="0"/>
        <v>22</v>
      </c>
      <c r="T24" s="168" t="s">
        <v>360</v>
      </c>
      <c r="U24" s="169" t="s">
        <v>6</v>
      </c>
      <c r="V24" s="169" t="s">
        <v>30</v>
      </c>
      <c r="W24" s="170">
        <v>2</v>
      </c>
      <c r="X24" s="171">
        <v>69.782843845657382</v>
      </c>
      <c r="Y24" s="172">
        <v>69.396266028239381</v>
      </c>
      <c r="Z24" s="244">
        <v>68.189315150082919</v>
      </c>
      <c r="AA24" s="185"/>
      <c r="AB24" s="183">
        <v>22</v>
      </c>
      <c r="AC24" s="168"/>
      <c r="AD24" s="169"/>
      <c r="AE24" s="169"/>
      <c r="AF24" s="170"/>
      <c r="AG24" s="171"/>
      <c r="AH24" s="172"/>
      <c r="AI24" s="172"/>
      <c r="AJ24" s="185"/>
      <c r="AK24" s="183">
        <v>22</v>
      </c>
      <c r="AL24" s="168"/>
      <c r="AM24" s="169"/>
      <c r="AN24" s="169"/>
      <c r="AO24" s="170"/>
      <c r="AP24" s="171"/>
      <c r="AQ24" s="172"/>
      <c r="AR24" s="244"/>
      <c r="AS24" s="185"/>
      <c r="AT24" s="183"/>
      <c r="AU24" s="168"/>
      <c r="AV24" s="169"/>
      <c r="AW24" s="169"/>
      <c r="AX24" s="170"/>
      <c r="AY24" s="171"/>
      <c r="AZ24" s="172"/>
      <c r="BA24" s="172"/>
    </row>
    <row r="25" spans="1:53" x14ac:dyDescent="0.2">
      <c r="A25" s="77">
        <v>23</v>
      </c>
      <c r="B25" s="224"/>
      <c r="C25" s="9"/>
      <c r="D25" s="9"/>
      <c r="E25" s="69"/>
      <c r="F25" s="70"/>
      <c r="G25" s="158"/>
      <c r="H25" s="157"/>
      <c r="I25" s="74"/>
      <c r="J25" s="77">
        <v>23</v>
      </c>
      <c r="K25" s="8"/>
      <c r="L25" s="9"/>
      <c r="M25" s="9"/>
      <c r="N25" s="9"/>
      <c r="O25" s="45"/>
      <c r="P25" s="93"/>
      <c r="Q25" s="160"/>
      <c r="R25" s="167"/>
      <c r="S25" s="183">
        <f t="shared" si="0"/>
        <v>23</v>
      </c>
      <c r="T25" s="168" t="s">
        <v>362</v>
      </c>
      <c r="U25" s="169" t="s">
        <v>6</v>
      </c>
      <c r="V25" s="169" t="s">
        <v>35</v>
      </c>
      <c r="W25" s="170">
        <v>2</v>
      </c>
      <c r="X25" s="171">
        <v>0</v>
      </c>
      <c r="Y25" s="172">
        <v>68.753202416423022</v>
      </c>
      <c r="Z25" s="244">
        <v>67.557435802714963</v>
      </c>
      <c r="AA25" s="185"/>
      <c r="AB25" s="183">
        <v>23</v>
      </c>
      <c r="AC25" s="168"/>
      <c r="AD25" s="169"/>
      <c r="AE25" s="169"/>
      <c r="AF25" s="170"/>
      <c r="AG25" s="171"/>
      <c r="AH25" s="172"/>
      <c r="AI25" s="172"/>
      <c r="AJ25" s="185"/>
      <c r="AK25" s="183">
        <v>23</v>
      </c>
      <c r="AL25" s="168"/>
      <c r="AM25" s="169"/>
      <c r="AN25" s="169"/>
      <c r="AO25" s="170"/>
      <c r="AP25" s="171"/>
      <c r="AQ25" s="172"/>
      <c r="AR25" s="244"/>
      <c r="AS25" s="185"/>
      <c r="AT25" s="183"/>
      <c r="AU25" s="168"/>
      <c r="AV25" s="169"/>
      <c r="AW25" s="169"/>
      <c r="AX25" s="170"/>
      <c r="AY25" s="171"/>
      <c r="AZ25" s="172"/>
      <c r="BA25" s="172"/>
    </row>
    <row r="26" spans="1:53" x14ac:dyDescent="0.2">
      <c r="A26" s="78">
        <v>24</v>
      </c>
      <c r="B26" s="236"/>
      <c r="C26" s="12"/>
      <c r="D26" s="12"/>
      <c r="E26" s="215"/>
      <c r="F26" s="211"/>
      <c r="G26" s="213"/>
      <c r="H26" s="157"/>
      <c r="I26" s="74"/>
      <c r="J26" s="77">
        <v>24</v>
      </c>
      <c r="K26" s="8"/>
      <c r="L26" s="9"/>
      <c r="M26" s="9"/>
      <c r="N26" s="9"/>
      <c r="O26" s="45"/>
      <c r="P26" s="93"/>
      <c r="Q26" s="160"/>
      <c r="R26" s="167"/>
      <c r="S26" s="183">
        <f t="shared" si="0"/>
        <v>24</v>
      </c>
      <c r="T26" s="168" t="s">
        <v>361</v>
      </c>
      <c r="U26" s="169" t="s">
        <v>6</v>
      </c>
      <c r="V26" s="169" t="s">
        <v>41</v>
      </c>
      <c r="W26" s="170">
        <v>2</v>
      </c>
      <c r="X26" s="171">
        <v>0</v>
      </c>
      <c r="Y26" s="172">
        <v>67.84001253860923</v>
      </c>
      <c r="Z26" s="244">
        <v>66.660128268261005</v>
      </c>
      <c r="AA26" s="185"/>
      <c r="AB26" s="183">
        <v>24</v>
      </c>
      <c r="AC26" s="168"/>
      <c r="AD26" s="169"/>
      <c r="AE26" s="169"/>
      <c r="AF26" s="170"/>
      <c r="AG26" s="171"/>
      <c r="AH26" s="172"/>
      <c r="AI26" s="172"/>
      <c r="AJ26" s="185"/>
      <c r="AK26" s="183">
        <v>24</v>
      </c>
      <c r="AL26" s="168"/>
      <c r="AM26" s="169"/>
      <c r="AN26" s="169"/>
      <c r="AO26" s="170"/>
      <c r="AP26" s="171"/>
      <c r="AQ26" s="172"/>
      <c r="AR26" s="244"/>
      <c r="AS26" s="185"/>
      <c r="AT26" s="183"/>
      <c r="AU26" s="168"/>
      <c r="AV26" s="169"/>
      <c r="AW26" s="169"/>
      <c r="AX26" s="170"/>
      <c r="AY26" s="171"/>
      <c r="AZ26" s="172"/>
      <c r="BA26" s="172"/>
    </row>
    <row r="27" spans="1:53" x14ac:dyDescent="0.2">
      <c r="A27" s="142">
        <v>25</v>
      </c>
      <c r="B27" s="223"/>
      <c r="C27" s="23"/>
      <c r="D27" s="23"/>
      <c r="E27" s="216"/>
      <c r="F27" s="212"/>
      <c r="G27" s="143"/>
      <c r="H27" s="157"/>
      <c r="I27" s="74"/>
      <c r="J27" s="77">
        <v>25</v>
      </c>
      <c r="K27" s="8"/>
      <c r="L27" s="9"/>
      <c r="M27" s="9"/>
      <c r="N27" s="9"/>
      <c r="O27" s="45"/>
      <c r="P27" s="93"/>
      <c r="Q27" s="160"/>
      <c r="R27" s="167"/>
      <c r="S27" s="183">
        <f t="shared" si="0"/>
        <v>25</v>
      </c>
      <c r="T27" s="168" t="s">
        <v>359</v>
      </c>
      <c r="U27" s="169" t="s">
        <v>6</v>
      </c>
      <c r="V27" s="169" t="s">
        <v>35</v>
      </c>
      <c r="W27" s="170">
        <v>2</v>
      </c>
      <c r="X27" s="171">
        <v>0</v>
      </c>
      <c r="Y27" s="172">
        <v>67.827782491700475</v>
      </c>
      <c r="Z27" s="244">
        <v>66.6481109282701</v>
      </c>
      <c r="AA27" s="185"/>
      <c r="AB27" s="183">
        <v>25</v>
      </c>
      <c r="AC27" s="168"/>
      <c r="AD27" s="169"/>
      <c r="AE27" s="169"/>
      <c r="AF27" s="170"/>
      <c r="AG27" s="171"/>
      <c r="AH27" s="172"/>
      <c r="AI27" s="172"/>
      <c r="AJ27" s="185"/>
      <c r="AK27" s="183">
        <v>25</v>
      </c>
      <c r="AL27" s="168"/>
      <c r="AM27" s="169"/>
      <c r="AN27" s="169"/>
      <c r="AO27" s="170"/>
      <c r="AP27" s="171"/>
      <c r="AQ27" s="172"/>
      <c r="AR27" s="244"/>
      <c r="AS27" s="185"/>
      <c r="AT27" s="183"/>
      <c r="AU27" s="168"/>
      <c r="AV27" s="169"/>
      <c r="AW27" s="169"/>
      <c r="AX27" s="170"/>
      <c r="AY27" s="171"/>
      <c r="AZ27" s="172"/>
      <c r="BA27" s="172"/>
    </row>
    <row r="28" spans="1:53" x14ac:dyDescent="0.2">
      <c r="A28" s="77">
        <v>26</v>
      </c>
      <c r="B28" s="224"/>
      <c r="C28" s="9"/>
      <c r="D28" s="9"/>
      <c r="E28" s="69"/>
      <c r="F28" s="70"/>
      <c r="G28" s="74"/>
      <c r="H28" s="157"/>
      <c r="I28" s="74"/>
      <c r="J28" s="77">
        <v>26</v>
      </c>
      <c r="K28" s="8"/>
      <c r="L28" s="9"/>
      <c r="M28" s="9"/>
      <c r="N28" s="9"/>
      <c r="O28" s="45"/>
      <c r="P28" s="93"/>
      <c r="Q28" s="160"/>
      <c r="R28" s="167"/>
      <c r="S28" s="183">
        <f t="shared" si="0"/>
        <v>26</v>
      </c>
      <c r="T28" s="168" t="s">
        <v>253</v>
      </c>
      <c r="U28" s="169" t="s">
        <v>6</v>
      </c>
      <c r="V28" s="169" t="s">
        <v>30</v>
      </c>
      <c r="W28" s="170">
        <v>5</v>
      </c>
      <c r="X28" s="171">
        <v>63.938704673516384</v>
      </c>
      <c r="Y28" s="172">
        <v>67.408258585638421</v>
      </c>
      <c r="Z28" s="244">
        <v>66.23588344859823</v>
      </c>
      <c r="AA28" s="185"/>
      <c r="AB28" s="183">
        <v>26</v>
      </c>
      <c r="AC28" s="168"/>
      <c r="AD28" s="169"/>
      <c r="AE28" s="169"/>
      <c r="AF28" s="170"/>
      <c r="AG28" s="171"/>
      <c r="AH28" s="172"/>
      <c r="AI28" s="172"/>
      <c r="AJ28" s="185"/>
      <c r="AK28" s="183">
        <v>26</v>
      </c>
      <c r="AL28" s="168"/>
      <c r="AM28" s="169"/>
      <c r="AN28" s="169"/>
      <c r="AO28" s="170"/>
      <c r="AP28" s="171"/>
      <c r="AQ28" s="172"/>
      <c r="AR28" s="244"/>
      <c r="AS28" s="185"/>
      <c r="AT28" s="183"/>
      <c r="AU28" s="168"/>
      <c r="AV28" s="169"/>
      <c r="AW28" s="169"/>
      <c r="AX28" s="170"/>
      <c r="AY28" s="171"/>
      <c r="AZ28" s="172"/>
      <c r="BA28" s="172"/>
    </row>
    <row r="29" spans="1:53" x14ac:dyDescent="0.2">
      <c r="A29" s="77">
        <v>27</v>
      </c>
      <c r="B29" s="224"/>
      <c r="C29" s="9"/>
      <c r="D29" s="9"/>
      <c r="E29" s="69"/>
      <c r="F29" s="70"/>
      <c r="G29" s="74"/>
      <c r="H29" s="157"/>
      <c r="I29" s="74"/>
      <c r="J29" s="77">
        <v>27</v>
      </c>
      <c r="K29" s="8"/>
      <c r="L29" s="9"/>
      <c r="M29" s="9"/>
      <c r="N29" s="9"/>
      <c r="O29" s="45"/>
      <c r="P29" s="93"/>
      <c r="Q29" s="160"/>
      <c r="R29" s="167"/>
      <c r="S29" s="183">
        <f t="shared" si="0"/>
        <v>27</v>
      </c>
      <c r="T29" s="168" t="s">
        <v>47</v>
      </c>
      <c r="U29" s="169" t="s">
        <v>5</v>
      </c>
      <c r="V29" s="169" t="s">
        <v>43</v>
      </c>
      <c r="W29" s="169">
        <v>9</v>
      </c>
      <c r="X29" s="171">
        <v>64.49093138187105</v>
      </c>
      <c r="Y29" s="171">
        <v>66.837359900222594</v>
      </c>
      <c r="Z29" s="244">
        <v>65.674913923771825</v>
      </c>
      <c r="AA29" s="185"/>
      <c r="AB29" s="183">
        <v>27</v>
      </c>
      <c r="AC29" s="168"/>
      <c r="AD29" s="169"/>
      <c r="AE29" s="169"/>
      <c r="AF29" s="170"/>
      <c r="AG29" s="171"/>
      <c r="AH29" s="172"/>
      <c r="AI29" s="172"/>
      <c r="AJ29" s="185"/>
      <c r="AK29" s="183">
        <v>27</v>
      </c>
      <c r="AL29" s="168"/>
      <c r="AM29" s="169"/>
      <c r="AN29" s="169"/>
      <c r="AO29" s="170"/>
      <c r="AP29" s="171"/>
      <c r="AQ29" s="172"/>
      <c r="AR29" s="244"/>
      <c r="AS29" s="185"/>
      <c r="AT29" s="183"/>
      <c r="AU29" s="168"/>
      <c r="AV29" s="169"/>
      <c r="AW29" s="169"/>
      <c r="AX29" s="170"/>
      <c r="AY29" s="171"/>
      <c r="AZ29" s="172"/>
      <c r="BA29" s="172"/>
    </row>
    <row r="30" spans="1:53" x14ac:dyDescent="0.2">
      <c r="A30" s="77">
        <v>28</v>
      </c>
      <c r="B30" s="224"/>
      <c r="C30" s="9"/>
      <c r="D30" s="9"/>
      <c r="E30" s="69"/>
      <c r="F30" s="70"/>
      <c r="G30" s="74"/>
      <c r="H30" s="157"/>
      <c r="I30" s="74"/>
      <c r="J30" s="77">
        <v>28</v>
      </c>
      <c r="K30" s="8"/>
      <c r="L30" s="9"/>
      <c r="M30" s="9"/>
      <c r="N30" s="9"/>
      <c r="O30" s="45"/>
      <c r="P30" s="93"/>
      <c r="Q30" s="160"/>
      <c r="R30" s="167"/>
      <c r="S30" s="183">
        <f t="shared" si="0"/>
        <v>28</v>
      </c>
      <c r="T30" s="168" t="s">
        <v>363</v>
      </c>
      <c r="U30" s="169" t="s">
        <v>6</v>
      </c>
      <c r="V30" s="169" t="s">
        <v>30</v>
      </c>
      <c r="W30" s="170">
        <v>2</v>
      </c>
      <c r="X30" s="171">
        <v>0</v>
      </c>
      <c r="Y30" s="172">
        <v>66.816659171057267</v>
      </c>
      <c r="Z30" s="244">
        <v>65.654573224975209</v>
      </c>
      <c r="AA30" s="185"/>
      <c r="AB30" s="183">
        <v>28</v>
      </c>
      <c r="AC30" s="168"/>
      <c r="AD30" s="169"/>
      <c r="AE30" s="169"/>
      <c r="AF30" s="170"/>
      <c r="AG30" s="171"/>
      <c r="AH30" s="172"/>
      <c r="AI30" s="172"/>
      <c r="AJ30" s="185"/>
      <c r="AK30" s="183">
        <v>28</v>
      </c>
      <c r="AL30" s="168"/>
      <c r="AM30" s="169"/>
      <c r="AN30" s="169"/>
      <c r="AO30" s="170"/>
      <c r="AP30" s="171"/>
      <c r="AQ30" s="172"/>
      <c r="AR30" s="244"/>
      <c r="AS30" s="185"/>
      <c r="AT30" s="183"/>
      <c r="AU30" s="168"/>
      <c r="AV30" s="169"/>
      <c r="AW30" s="169"/>
      <c r="AX30" s="170"/>
      <c r="AY30" s="171"/>
      <c r="AZ30" s="172"/>
      <c r="BA30" s="172"/>
    </row>
    <row r="31" spans="1:53" x14ac:dyDescent="0.2">
      <c r="A31" s="77">
        <v>29</v>
      </c>
      <c r="B31" s="224"/>
      <c r="C31" s="9"/>
      <c r="D31" s="9"/>
      <c r="E31" s="69"/>
      <c r="F31" s="70"/>
      <c r="G31" s="74"/>
      <c r="H31" s="157"/>
      <c r="I31" s="74"/>
      <c r="J31" s="77">
        <v>29</v>
      </c>
      <c r="K31" s="8"/>
      <c r="L31" s="9"/>
      <c r="M31" s="9"/>
      <c r="N31" s="9"/>
      <c r="O31" s="45"/>
      <c r="P31" s="93"/>
      <c r="Q31" s="160"/>
      <c r="R31" s="167"/>
      <c r="S31" s="183">
        <f t="shared" si="0"/>
        <v>29</v>
      </c>
      <c r="T31" s="168" t="s">
        <v>268</v>
      </c>
      <c r="U31" s="169" t="s">
        <v>5</v>
      </c>
      <c r="V31" s="169" t="s">
        <v>32</v>
      </c>
      <c r="W31" s="170">
        <v>2</v>
      </c>
      <c r="X31" s="171">
        <v>68.802017923220845</v>
      </c>
      <c r="Y31" s="172">
        <v>66.463509745813553</v>
      </c>
      <c r="Z31" s="244">
        <v>65.307565830611722</v>
      </c>
      <c r="AA31" s="185"/>
      <c r="AB31" s="183">
        <v>29</v>
      </c>
      <c r="AC31" s="168"/>
      <c r="AD31" s="169"/>
      <c r="AE31" s="169"/>
      <c r="AF31" s="170"/>
      <c r="AG31" s="171"/>
      <c r="AH31" s="172"/>
      <c r="AI31" s="172"/>
      <c r="AJ31" s="185"/>
      <c r="AK31" s="183">
        <v>29</v>
      </c>
      <c r="AL31" s="168"/>
      <c r="AM31" s="169"/>
      <c r="AN31" s="169"/>
      <c r="AO31" s="170"/>
      <c r="AP31" s="171"/>
      <c r="AQ31" s="172"/>
      <c r="AR31" s="244"/>
      <c r="AS31" s="185"/>
      <c r="AT31" s="183"/>
      <c r="AU31" s="168"/>
      <c r="AV31" s="169"/>
      <c r="AW31" s="169"/>
      <c r="AX31" s="170"/>
      <c r="AY31" s="171"/>
      <c r="AZ31" s="172"/>
      <c r="BA31" s="172"/>
    </row>
    <row r="32" spans="1:53" x14ac:dyDescent="0.2">
      <c r="A32" s="77">
        <v>30</v>
      </c>
      <c r="B32" s="224"/>
      <c r="C32" s="9"/>
      <c r="D32" s="9"/>
      <c r="E32" s="69"/>
      <c r="F32" s="70"/>
      <c r="G32" s="74"/>
      <c r="H32" s="157"/>
      <c r="I32" s="74"/>
      <c r="J32" s="77">
        <v>30</v>
      </c>
      <c r="K32" s="8"/>
      <c r="L32" s="9"/>
      <c r="M32" s="9"/>
      <c r="N32" s="9"/>
      <c r="O32" s="45"/>
      <c r="P32" s="93"/>
      <c r="Q32" s="160"/>
      <c r="R32" s="167"/>
      <c r="S32" s="183">
        <f t="shared" si="0"/>
        <v>30</v>
      </c>
      <c r="T32" s="168" t="s">
        <v>62</v>
      </c>
      <c r="U32" s="169" t="s">
        <v>5</v>
      </c>
      <c r="V32" s="169" t="s">
        <v>32</v>
      </c>
      <c r="W32" s="170">
        <v>2</v>
      </c>
      <c r="X32" s="171">
        <v>68.83916201810105</v>
      </c>
      <c r="Y32" s="172">
        <v>66.194919289198708</v>
      </c>
      <c r="Z32" s="244">
        <v>65.043646741867647</v>
      </c>
      <c r="AA32" s="185"/>
      <c r="AB32" s="183">
        <v>30</v>
      </c>
      <c r="AC32" s="168"/>
      <c r="AD32" s="169"/>
      <c r="AE32" s="169"/>
      <c r="AF32" s="170"/>
      <c r="AG32" s="171"/>
      <c r="AH32" s="172"/>
      <c r="AI32" s="172"/>
      <c r="AJ32" s="185"/>
      <c r="AK32" s="183">
        <v>30</v>
      </c>
      <c r="AL32" s="168"/>
      <c r="AM32" s="169"/>
      <c r="AN32" s="169"/>
      <c r="AO32" s="170"/>
      <c r="AP32" s="171"/>
      <c r="AQ32" s="172"/>
      <c r="AR32" s="244"/>
      <c r="AS32" s="185"/>
      <c r="AT32" s="183"/>
      <c r="AU32" s="168"/>
      <c r="AV32" s="169"/>
      <c r="AW32" s="169"/>
      <c r="AX32" s="170"/>
      <c r="AY32" s="171"/>
      <c r="AZ32" s="172"/>
      <c r="BA32" s="172"/>
    </row>
    <row r="33" spans="1:53" x14ac:dyDescent="0.2">
      <c r="A33" s="77">
        <v>31</v>
      </c>
      <c r="B33" s="225"/>
      <c r="C33" s="9"/>
      <c r="D33" s="9"/>
      <c r="E33" s="69"/>
      <c r="F33" s="70"/>
      <c r="G33" s="158"/>
      <c r="H33" s="157"/>
      <c r="I33" s="74"/>
      <c r="J33" s="77">
        <v>31</v>
      </c>
      <c r="K33" s="8"/>
      <c r="L33" s="9"/>
      <c r="M33" s="9"/>
      <c r="N33" s="9"/>
      <c r="O33" s="45"/>
      <c r="P33" s="93"/>
      <c r="Q33" s="160"/>
      <c r="R33" s="167"/>
      <c r="S33" s="183">
        <f t="shared" si="0"/>
        <v>31</v>
      </c>
      <c r="T33" s="168" t="s">
        <v>458</v>
      </c>
      <c r="U33" s="169" t="s">
        <v>5</v>
      </c>
      <c r="V33" s="169" t="s">
        <v>51</v>
      </c>
      <c r="W33" s="169">
        <v>1</v>
      </c>
      <c r="X33" s="171">
        <v>0</v>
      </c>
      <c r="Y33" s="171">
        <v>65.845168136774546</v>
      </c>
      <c r="Z33" s="244">
        <v>64.69997851702324</v>
      </c>
      <c r="AA33" s="185"/>
      <c r="AB33" s="183">
        <v>31</v>
      </c>
      <c r="AC33" s="168"/>
      <c r="AD33" s="169"/>
      <c r="AE33" s="169"/>
      <c r="AF33" s="170"/>
      <c r="AG33" s="171"/>
      <c r="AH33" s="172"/>
      <c r="AI33" s="172"/>
      <c r="AJ33" s="185"/>
      <c r="AK33" s="183">
        <v>31</v>
      </c>
      <c r="AL33" s="168"/>
      <c r="AM33" s="169"/>
      <c r="AN33" s="169"/>
      <c r="AO33" s="170"/>
      <c r="AP33" s="171"/>
      <c r="AQ33" s="172"/>
      <c r="AR33" s="244"/>
      <c r="AS33" s="185"/>
      <c r="AT33" s="183"/>
      <c r="AU33" s="168"/>
      <c r="AV33" s="169"/>
      <c r="AW33" s="169"/>
      <c r="AX33" s="170"/>
      <c r="AY33" s="171"/>
      <c r="AZ33" s="172"/>
      <c r="BA33" s="172"/>
    </row>
    <row r="34" spans="1:53" x14ac:dyDescent="0.2">
      <c r="A34" s="77">
        <v>32</v>
      </c>
      <c r="B34" s="224"/>
      <c r="C34" s="9"/>
      <c r="D34" s="9"/>
      <c r="E34" s="9"/>
      <c r="F34" s="45"/>
      <c r="G34" s="93"/>
      <c r="H34" s="157"/>
      <c r="I34" s="74"/>
      <c r="J34" s="77">
        <v>32</v>
      </c>
      <c r="K34" s="8"/>
      <c r="L34" s="9"/>
      <c r="M34" s="9"/>
      <c r="N34" s="9"/>
      <c r="O34" s="45"/>
      <c r="P34" s="93"/>
      <c r="Q34" s="160"/>
      <c r="R34" s="167"/>
      <c r="S34" s="183">
        <f t="shared" si="0"/>
        <v>32</v>
      </c>
      <c r="T34" s="168" t="s">
        <v>352</v>
      </c>
      <c r="U34" s="169" t="s">
        <v>6</v>
      </c>
      <c r="V34" s="169" t="s">
        <v>31</v>
      </c>
      <c r="W34" s="169">
        <v>3</v>
      </c>
      <c r="X34" s="171">
        <v>0</v>
      </c>
      <c r="Y34" s="171">
        <v>65.582474780759526</v>
      </c>
      <c r="Z34" s="244">
        <v>64.441853965568967</v>
      </c>
      <c r="AA34" s="185"/>
      <c r="AB34" s="183">
        <v>32</v>
      </c>
      <c r="AC34" s="168"/>
      <c r="AD34" s="169"/>
      <c r="AE34" s="169"/>
      <c r="AF34" s="170"/>
      <c r="AG34" s="171"/>
      <c r="AH34" s="172"/>
      <c r="AI34" s="172"/>
      <c r="AJ34" s="185"/>
      <c r="AK34" s="183">
        <v>32</v>
      </c>
      <c r="AL34" s="168"/>
      <c r="AM34" s="169"/>
      <c r="AN34" s="169"/>
      <c r="AO34" s="170"/>
      <c r="AP34" s="171"/>
      <c r="AQ34" s="172"/>
      <c r="AR34" s="244"/>
      <c r="AS34" s="185"/>
      <c r="AT34" s="183"/>
      <c r="AU34" s="168"/>
      <c r="AV34" s="169"/>
      <c r="AW34" s="169"/>
      <c r="AX34" s="170"/>
      <c r="AY34" s="171"/>
      <c r="AZ34" s="172"/>
      <c r="BA34" s="172"/>
    </row>
    <row r="35" spans="1:53" x14ac:dyDescent="0.2">
      <c r="A35" s="77">
        <v>33</v>
      </c>
      <c r="B35" s="225"/>
      <c r="C35" s="9"/>
      <c r="D35" s="9"/>
      <c r="E35" s="69"/>
      <c r="F35" s="70"/>
      <c r="G35" s="158"/>
      <c r="H35" s="157"/>
      <c r="I35" s="74"/>
      <c r="J35" s="77">
        <v>33</v>
      </c>
      <c r="K35" s="8"/>
      <c r="L35" s="9"/>
      <c r="M35" s="9"/>
      <c r="N35" s="9"/>
      <c r="O35" s="45"/>
      <c r="P35" s="93"/>
      <c r="Q35" s="160"/>
      <c r="R35" s="167"/>
      <c r="S35" s="183">
        <f t="shared" si="0"/>
        <v>33</v>
      </c>
      <c r="T35" s="168" t="s">
        <v>353</v>
      </c>
      <c r="U35" s="169" t="s">
        <v>6</v>
      </c>
      <c r="V35" s="169" t="s">
        <v>31</v>
      </c>
      <c r="W35" s="169">
        <v>4</v>
      </c>
      <c r="X35" s="171">
        <v>0</v>
      </c>
      <c r="Y35" s="171">
        <v>65.214085242213457</v>
      </c>
      <c r="Z35" s="244">
        <v>64.079871516373643</v>
      </c>
      <c r="AA35" s="185"/>
      <c r="AB35" s="183">
        <v>33</v>
      </c>
      <c r="AC35" s="168"/>
      <c r="AD35" s="169"/>
      <c r="AE35" s="169"/>
      <c r="AF35" s="170"/>
      <c r="AG35" s="171"/>
      <c r="AH35" s="172"/>
      <c r="AI35" s="172"/>
      <c r="AJ35" s="185"/>
      <c r="AK35" s="183">
        <v>33</v>
      </c>
      <c r="AL35" s="168"/>
      <c r="AM35" s="169"/>
      <c r="AN35" s="169"/>
      <c r="AO35" s="170"/>
      <c r="AP35" s="171"/>
      <c r="AQ35" s="172"/>
      <c r="AR35" s="244"/>
      <c r="AS35" s="185"/>
      <c r="AT35" s="183"/>
      <c r="AU35" s="168"/>
      <c r="AV35" s="169"/>
      <c r="AW35" s="169"/>
      <c r="AX35" s="170"/>
      <c r="AY35" s="171"/>
      <c r="AZ35" s="172"/>
      <c r="BA35" s="172"/>
    </row>
    <row r="36" spans="1:53" x14ac:dyDescent="0.2">
      <c r="A36" s="77">
        <v>34</v>
      </c>
      <c r="B36" s="224"/>
      <c r="C36" s="9"/>
      <c r="D36" s="9"/>
      <c r="E36" s="9"/>
      <c r="F36" s="45"/>
      <c r="G36" s="93"/>
      <c r="H36" s="157"/>
      <c r="I36" s="74"/>
      <c r="J36" s="77">
        <v>34</v>
      </c>
      <c r="K36" s="8"/>
      <c r="L36" s="9"/>
      <c r="M36" s="9"/>
      <c r="N36" s="9"/>
      <c r="O36" s="45"/>
      <c r="P36" s="93"/>
      <c r="Q36" s="160"/>
      <c r="R36" s="167"/>
      <c r="S36" s="183">
        <f t="shared" si="0"/>
        <v>34</v>
      </c>
      <c r="T36" s="168" t="s">
        <v>510</v>
      </c>
      <c r="U36" s="169" t="s">
        <v>5</v>
      </c>
      <c r="V36" s="169" t="s">
        <v>41</v>
      </c>
      <c r="W36" s="170">
        <v>2</v>
      </c>
      <c r="X36" s="171">
        <v>0</v>
      </c>
      <c r="Y36" s="172">
        <v>65.141070347204646</v>
      </c>
      <c r="Z36" s="244">
        <v>64.008126508012822</v>
      </c>
      <c r="AA36" s="185"/>
      <c r="AB36" s="183">
        <v>34</v>
      </c>
      <c r="AC36" s="168"/>
      <c r="AD36" s="169"/>
      <c r="AE36" s="169"/>
      <c r="AF36" s="170"/>
      <c r="AG36" s="171"/>
      <c r="AH36" s="172"/>
      <c r="AI36" s="172"/>
      <c r="AJ36" s="185"/>
      <c r="AK36" s="183">
        <v>34</v>
      </c>
      <c r="AL36" s="168"/>
      <c r="AM36" s="169"/>
      <c r="AN36" s="169"/>
      <c r="AO36" s="170"/>
      <c r="AP36" s="171"/>
      <c r="AQ36" s="172"/>
      <c r="AR36" s="244"/>
      <c r="AS36" s="185"/>
      <c r="AT36" s="183"/>
      <c r="AU36" s="168"/>
      <c r="AV36" s="169"/>
      <c r="AW36" s="169"/>
      <c r="AX36" s="170"/>
      <c r="AY36" s="171"/>
      <c r="AZ36" s="172"/>
      <c r="BA36" s="172"/>
    </row>
    <row r="37" spans="1:53" x14ac:dyDescent="0.2">
      <c r="A37" s="77">
        <v>35</v>
      </c>
      <c r="B37" s="224"/>
      <c r="C37" s="9"/>
      <c r="D37" s="9"/>
      <c r="E37" s="69"/>
      <c r="F37" s="70"/>
      <c r="G37" s="158"/>
      <c r="H37" s="157"/>
      <c r="I37" s="74"/>
      <c r="J37" s="77">
        <v>35</v>
      </c>
      <c r="K37" s="8"/>
      <c r="L37" s="9"/>
      <c r="M37" s="9"/>
      <c r="N37" s="9"/>
      <c r="O37" s="45"/>
      <c r="P37" s="93"/>
      <c r="Q37" s="160"/>
      <c r="R37" s="167"/>
      <c r="S37" s="183">
        <f t="shared" si="0"/>
        <v>35</v>
      </c>
      <c r="T37" s="168" t="s">
        <v>511</v>
      </c>
      <c r="U37" s="169" t="s">
        <v>6</v>
      </c>
      <c r="V37" s="169" t="s">
        <v>43</v>
      </c>
      <c r="W37" s="170">
        <v>1</v>
      </c>
      <c r="X37" s="171">
        <v>0</v>
      </c>
      <c r="Y37" s="172">
        <v>64.892211148436715</v>
      </c>
      <c r="Z37" s="244">
        <v>63.763595507946071</v>
      </c>
      <c r="AA37" s="185"/>
      <c r="AB37" s="183">
        <v>35</v>
      </c>
      <c r="AC37" s="168"/>
      <c r="AD37" s="169"/>
      <c r="AE37" s="169"/>
      <c r="AF37" s="170"/>
      <c r="AG37" s="171"/>
      <c r="AH37" s="172"/>
      <c r="AI37" s="172"/>
      <c r="AJ37" s="185"/>
      <c r="AK37" s="183">
        <v>35</v>
      </c>
      <c r="AL37" s="168"/>
      <c r="AM37" s="169"/>
      <c r="AN37" s="169"/>
      <c r="AO37" s="170"/>
      <c r="AP37" s="171"/>
      <c r="AQ37" s="172"/>
      <c r="AR37" s="244"/>
      <c r="AS37" s="185"/>
      <c r="AT37" s="183"/>
      <c r="AU37" s="168"/>
      <c r="AV37" s="169"/>
      <c r="AW37" s="169"/>
      <c r="AX37" s="170"/>
      <c r="AY37" s="171"/>
      <c r="AZ37" s="172"/>
      <c r="BA37" s="172"/>
    </row>
    <row r="38" spans="1:53" x14ac:dyDescent="0.2">
      <c r="A38" s="77">
        <v>36</v>
      </c>
      <c r="B38" s="224"/>
      <c r="C38" s="9"/>
      <c r="D38" s="9"/>
      <c r="E38" s="69"/>
      <c r="F38" s="70"/>
      <c r="G38" s="158"/>
      <c r="H38" s="157"/>
      <c r="I38" s="74"/>
      <c r="J38" s="77">
        <v>36</v>
      </c>
      <c r="K38" s="8"/>
      <c r="L38" s="9"/>
      <c r="M38" s="9"/>
      <c r="N38" s="9"/>
      <c r="O38" s="45"/>
      <c r="P38" s="93"/>
      <c r="Q38" s="160"/>
      <c r="R38" s="167"/>
      <c r="S38" s="183">
        <f t="shared" si="0"/>
        <v>36</v>
      </c>
      <c r="T38" s="168" t="s">
        <v>366</v>
      </c>
      <c r="U38" s="169" t="s">
        <v>6</v>
      </c>
      <c r="V38" s="169" t="s">
        <v>43</v>
      </c>
      <c r="W38" s="170">
        <v>4</v>
      </c>
      <c r="X38" s="171">
        <v>0</v>
      </c>
      <c r="Y38" s="172">
        <v>64.620512607513476</v>
      </c>
      <c r="Z38" s="244">
        <v>63.496622391189426</v>
      </c>
      <c r="AA38" s="185"/>
      <c r="AB38" s="183">
        <v>36</v>
      </c>
      <c r="AC38" s="168"/>
      <c r="AD38" s="169"/>
      <c r="AE38" s="169"/>
      <c r="AF38" s="170"/>
      <c r="AG38" s="171"/>
      <c r="AH38" s="172"/>
      <c r="AI38" s="172"/>
      <c r="AJ38" s="185"/>
      <c r="AK38" s="183">
        <v>36</v>
      </c>
      <c r="AL38" s="168"/>
      <c r="AM38" s="169"/>
      <c r="AN38" s="169"/>
      <c r="AO38" s="170"/>
      <c r="AP38" s="171"/>
      <c r="AQ38" s="172"/>
      <c r="AR38" s="244"/>
      <c r="AS38" s="185"/>
      <c r="AT38" s="183"/>
      <c r="AU38" s="168"/>
      <c r="AV38" s="169"/>
      <c r="AW38" s="169"/>
      <c r="AX38" s="170"/>
      <c r="AY38" s="171"/>
      <c r="AZ38" s="172"/>
      <c r="BA38" s="172"/>
    </row>
    <row r="39" spans="1:53" x14ac:dyDescent="0.2">
      <c r="A39" s="77">
        <v>37</v>
      </c>
      <c r="B39" s="225"/>
      <c r="C39" s="9"/>
      <c r="D39" s="9"/>
      <c r="E39" s="69"/>
      <c r="F39" s="70"/>
      <c r="G39" s="158"/>
      <c r="H39" s="157"/>
      <c r="I39" s="74"/>
      <c r="J39" s="77">
        <v>37</v>
      </c>
      <c r="K39" s="8"/>
      <c r="L39" s="9"/>
      <c r="M39" s="9"/>
      <c r="N39" s="9"/>
      <c r="O39" s="45"/>
      <c r="P39" s="93"/>
      <c r="Q39" s="160"/>
      <c r="R39" s="167"/>
      <c r="S39" s="183">
        <f t="shared" si="0"/>
        <v>37</v>
      </c>
      <c r="T39" s="168" t="s">
        <v>370</v>
      </c>
      <c r="U39" s="169" t="s">
        <v>6</v>
      </c>
      <c r="V39" s="169" t="s">
        <v>31</v>
      </c>
      <c r="W39" s="170">
        <v>3</v>
      </c>
      <c r="X39" s="171">
        <v>0</v>
      </c>
      <c r="Y39" s="172">
        <v>63.452011434056885</v>
      </c>
      <c r="Z39" s="244">
        <v>62.348443975687225</v>
      </c>
      <c r="AA39" s="185"/>
      <c r="AB39" s="183">
        <v>37</v>
      </c>
      <c r="AC39" s="168"/>
      <c r="AD39" s="169"/>
      <c r="AE39" s="169"/>
      <c r="AF39" s="170"/>
      <c r="AG39" s="171"/>
      <c r="AH39" s="172"/>
      <c r="AI39" s="172"/>
      <c r="AJ39" s="185"/>
      <c r="AK39" s="183">
        <v>37</v>
      </c>
      <c r="AL39" s="168"/>
      <c r="AM39" s="169"/>
      <c r="AN39" s="169"/>
      <c r="AO39" s="170"/>
      <c r="AP39" s="171"/>
      <c r="AQ39" s="172"/>
      <c r="AR39" s="244"/>
      <c r="AS39" s="185"/>
      <c r="AT39" s="183"/>
      <c r="AU39" s="168"/>
      <c r="AV39" s="169"/>
      <c r="AW39" s="169"/>
      <c r="AX39" s="170"/>
      <c r="AY39" s="171"/>
      <c r="AZ39" s="172"/>
      <c r="BA39" s="172"/>
    </row>
    <row r="40" spans="1:53" x14ac:dyDescent="0.2">
      <c r="A40" s="77">
        <v>38</v>
      </c>
      <c r="B40" s="224"/>
      <c r="C40" s="9"/>
      <c r="D40" s="9"/>
      <c r="E40" s="69"/>
      <c r="F40" s="70"/>
      <c r="G40" s="158"/>
      <c r="H40" s="157"/>
      <c r="I40" s="74"/>
      <c r="J40" s="77">
        <v>38</v>
      </c>
      <c r="K40" s="8"/>
      <c r="L40" s="9"/>
      <c r="M40" s="9"/>
      <c r="N40" s="9"/>
      <c r="O40" s="45"/>
      <c r="P40" s="93"/>
      <c r="Q40" s="160"/>
      <c r="R40" s="167"/>
      <c r="S40" s="183">
        <f t="shared" si="0"/>
        <v>38</v>
      </c>
      <c r="T40" s="168" t="s">
        <v>354</v>
      </c>
      <c r="U40" s="169" t="s">
        <v>6</v>
      </c>
      <c r="V40" s="169" t="s">
        <v>31</v>
      </c>
      <c r="W40" s="170">
        <v>1</v>
      </c>
      <c r="X40" s="171">
        <v>0</v>
      </c>
      <c r="Y40" s="172">
        <v>62.965221788556477</v>
      </c>
      <c r="Z40" s="244">
        <v>61.870120652998402</v>
      </c>
      <c r="AA40" s="185"/>
      <c r="AB40" s="183">
        <v>38</v>
      </c>
      <c r="AC40" s="168"/>
      <c r="AD40" s="169"/>
      <c r="AE40" s="169"/>
      <c r="AF40" s="170"/>
      <c r="AG40" s="171"/>
      <c r="AH40" s="172"/>
      <c r="AI40" s="172"/>
      <c r="AJ40" s="185"/>
      <c r="AK40" s="183">
        <v>38</v>
      </c>
      <c r="AL40" s="168"/>
      <c r="AM40" s="169"/>
      <c r="AN40" s="169"/>
      <c r="AO40" s="170"/>
      <c r="AP40" s="171"/>
      <c r="AQ40" s="172"/>
      <c r="AR40" s="244"/>
      <c r="AS40" s="185"/>
    </row>
    <row r="41" spans="1:53" x14ac:dyDescent="0.2">
      <c r="A41" s="142">
        <v>39</v>
      </c>
      <c r="B41" s="226"/>
      <c r="C41" s="23"/>
      <c r="D41" s="23"/>
      <c r="E41" s="69"/>
      <c r="F41" s="212"/>
      <c r="G41" s="214"/>
      <c r="H41" s="159"/>
      <c r="I41" s="143"/>
      <c r="J41" s="77">
        <v>39</v>
      </c>
      <c r="K41" s="8"/>
      <c r="L41" s="9"/>
      <c r="M41" s="9"/>
      <c r="N41" s="9"/>
      <c r="O41" s="45"/>
      <c r="P41" s="93"/>
      <c r="Q41" s="160"/>
      <c r="R41" s="167"/>
      <c r="S41" s="183">
        <f t="shared" si="0"/>
        <v>39</v>
      </c>
      <c r="T41" s="168" t="s">
        <v>411</v>
      </c>
      <c r="U41" s="169" t="s">
        <v>5</v>
      </c>
      <c r="V41" s="169" t="s">
        <v>37</v>
      </c>
      <c r="W41" s="170">
        <v>5</v>
      </c>
      <c r="X41" s="171">
        <v>0</v>
      </c>
      <c r="Y41" s="172">
        <v>62.684910193739469</v>
      </c>
      <c r="Z41" s="244">
        <v>61.594684281948979</v>
      </c>
      <c r="AA41" s="185"/>
      <c r="AB41" s="183">
        <v>39</v>
      </c>
      <c r="AC41" s="168"/>
      <c r="AD41" s="169"/>
      <c r="AE41" s="169"/>
      <c r="AF41" s="170"/>
      <c r="AG41" s="171"/>
      <c r="AH41" s="172"/>
      <c r="AI41" s="172"/>
      <c r="AJ41" s="185"/>
      <c r="AK41" s="183">
        <v>39</v>
      </c>
      <c r="AL41" s="168"/>
      <c r="AM41" s="169"/>
      <c r="AN41" s="169"/>
      <c r="AO41" s="170"/>
      <c r="AP41" s="171"/>
      <c r="AQ41" s="172"/>
      <c r="AR41" s="244"/>
      <c r="AS41" s="185"/>
    </row>
    <row r="42" spans="1:53" x14ac:dyDescent="0.2">
      <c r="A42" s="77">
        <v>40</v>
      </c>
      <c r="B42" s="224"/>
      <c r="C42" s="9"/>
      <c r="D42" s="9"/>
      <c r="E42" s="69"/>
      <c r="F42" s="70"/>
      <c r="G42" s="158"/>
      <c r="H42" s="157"/>
      <c r="I42" s="74"/>
      <c r="J42" s="77">
        <v>40</v>
      </c>
      <c r="K42" s="8"/>
      <c r="L42" s="9"/>
      <c r="M42" s="9"/>
      <c r="N42" s="9"/>
      <c r="O42" s="45"/>
      <c r="P42" s="93"/>
      <c r="Q42" s="160"/>
      <c r="R42" s="167"/>
      <c r="S42" s="183">
        <f t="shared" si="0"/>
        <v>40</v>
      </c>
      <c r="T42" s="168" t="s">
        <v>429</v>
      </c>
      <c r="U42" s="169" t="s">
        <v>6</v>
      </c>
      <c r="V42" s="169" t="s">
        <v>32</v>
      </c>
      <c r="W42" s="169">
        <v>1</v>
      </c>
      <c r="X42" s="171">
        <v>0</v>
      </c>
      <c r="Y42" s="171">
        <v>62.494071509736912</v>
      </c>
      <c r="Z42" s="244">
        <v>61.407164694641757</v>
      </c>
      <c r="AA42" s="185"/>
      <c r="AB42" s="183">
        <v>40</v>
      </c>
      <c r="AC42" s="168"/>
      <c r="AD42" s="169"/>
      <c r="AE42" s="169"/>
      <c r="AF42" s="170"/>
      <c r="AG42" s="171"/>
      <c r="AH42" s="172"/>
      <c r="AI42" s="172"/>
      <c r="AJ42" s="185"/>
      <c r="AK42" s="183">
        <v>40</v>
      </c>
      <c r="AL42" s="168"/>
      <c r="AM42" s="169"/>
      <c r="AN42" s="169"/>
      <c r="AO42" s="170"/>
      <c r="AP42" s="171"/>
      <c r="AQ42" s="172"/>
      <c r="AR42" s="244"/>
      <c r="AS42" s="185"/>
    </row>
    <row r="43" spans="1:53" x14ac:dyDescent="0.2">
      <c r="A43" s="77">
        <v>41</v>
      </c>
      <c r="B43" s="224"/>
      <c r="C43" s="9"/>
      <c r="D43" s="9"/>
      <c r="E43" s="69"/>
      <c r="F43" s="70"/>
      <c r="G43" s="158"/>
      <c r="H43" s="157"/>
      <c r="I43" s="74"/>
      <c r="J43" s="77">
        <v>41</v>
      </c>
      <c r="K43" s="8"/>
      <c r="L43" s="9"/>
      <c r="M43" s="9"/>
      <c r="N43" s="9"/>
      <c r="O43" s="45"/>
      <c r="P43" s="93"/>
      <c r="Q43" s="160"/>
      <c r="R43" s="167"/>
      <c r="S43" s="183">
        <f t="shared" si="0"/>
        <v>41</v>
      </c>
      <c r="T43" s="168" t="s">
        <v>437</v>
      </c>
      <c r="U43" s="169" t="s">
        <v>5</v>
      </c>
      <c r="V43" s="169" t="s">
        <v>37</v>
      </c>
      <c r="W43" s="170">
        <v>2</v>
      </c>
      <c r="X43" s="171">
        <v>0</v>
      </c>
      <c r="Y43" s="172">
        <v>62.490015792229002</v>
      </c>
      <c r="Z43" s="244">
        <v>61.403179514816749</v>
      </c>
      <c r="AA43" s="185"/>
      <c r="AB43" s="183">
        <v>41</v>
      </c>
      <c r="AC43" s="168"/>
      <c r="AD43" s="169"/>
      <c r="AE43" s="169"/>
      <c r="AF43" s="170"/>
      <c r="AG43" s="171"/>
      <c r="AH43" s="172"/>
      <c r="AI43" s="172"/>
      <c r="AJ43" s="185"/>
      <c r="AK43" s="183">
        <v>41</v>
      </c>
      <c r="AL43" s="168"/>
      <c r="AM43" s="169"/>
      <c r="AN43" s="169"/>
      <c r="AO43" s="170"/>
      <c r="AP43" s="171"/>
      <c r="AQ43" s="172"/>
      <c r="AR43" s="244"/>
      <c r="AS43" s="185"/>
    </row>
    <row r="44" spans="1:53" x14ac:dyDescent="0.2">
      <c r="A44" s="77">
        <v>42</v>
      </c>
      <c r="B44" s="224"/>
      <c r="C44" s="9"/>
      <c r="D44" s="9"/>
      <c r="E44" s="69"/>
      <c r="F44" s="70"/>
      <c r="G44" s="158"/>
      <c r="H44" s="157"/>
      <c r="I44" s="74"/>
      <c r="J44" s="77">
        <v>42</v>
      </c>
      <c r="K44" s="8"/>
      <c r="L44" s="9"/>
      <c r="M44" s="9"/>
      <c r="N44" s="9"/>
      <c r="O44" s="45"/>
      <c r="P44" s="93"/>
      <c r="Q44" s="160"/>
      <c r="R44" s="167"/>
      <c r="S44" s="183">
        <f t="shared" si="0"/>
        <v>42</v>
      </c>
      <c r="T44" s="168" t="s">
        <v>364</v>
      </c>
      <c r="U44" s="169" t="s">
        <v>6</v>
      </c>
      <c r="V44" s="169" t="s">
        <v>35</v>
      </c>
      <c r="W44" s="170">
        <v>5</v>
      </c>
      <c r="X44" s="171">
        <v>0</v>
      </c>
      <c r="Y44" s="172">
        <v>62.414063825150571</v>
      </c>
      <c r="Z44" s="244">
        <v>61.328548516410116</v>
      </c>
      <c r="AA44" s="185"/>
      <c r="AB44" s="183">
        <v>42</v>
      </c>
      <c r="AC44" s="168"/>
      <c r="AD44" s="169"/>
      <c r="AE44" s="169"/>
      <c r="AF44" s="170"/>
      <c r="AG44" s="171"/>
      <c r="AH44" s="172"/>
      <c r="AI44" s="172"/>
      <c r="AJ44" s="185"/>
      <c r="AK44" s="183">
        <v>42</v>
      </c>
      <c r="AL44" s="168"/>
      <c r="AM44" s="169"/>
      <c r="AN44" s="169"/>
      <c r="AO44" s="170"/>
      <c r="AP44" s="171"/>
      <c r="AQ44" s="172"/>
      <c r="AR44" s="244"/>
      <c r="AS44" s="185"/>
    </row>
    <row r="45" spans="1:53" x14ac:dyDescent="0.2">
      <c r="A45" s="77">
        <v>43</v>
      </c>
      <c r="B45" s="224"/>
      <c r="C45" s="9"/>
      <c r="D45" s="9"/>
      <c r="E45" s="69"/>
      <c r="F45" s="45"/>
      <c r="G45" s="93"/>
      <c r="H45" s="157"/>
      <c r="I45" s="74"/>
      <c r="J45" s="77">
        <v>43</v>
      </c>
      <c r="K45" s="8"/>
      <c r="L45" s="9"/>
      <c r="M45" s="9"/>
      <c r="N45" s="9"/>
      <c r="O45" s="45"/>
      <c r="P45" s="93"/>
      <c r="Q45" s="160"/>
      <c r="R45" s="167"/>
      <c r="S45" s="183">
        <f t="shared" si="0"/>
        <v>43</v>
      </c>
      <c r="T45" s="168" t="s">
        <v>250</v>
      </c>
      <c r="U45" s="169" t="s">
        <v>6</v>
      </c>
      <c r="V45" s="169" t="s">
        <v>31</v>
      </c>
      <c r="W45" s="170">
        <v>3</v>
      </c>
      <c r="X45" s="171">
        <v>62.908504485722865</v>
      </c>
      <c r="Y45" s="172">
        <v>61.977060013311281</v>
      </c>
      <c r="Z45" s="244">
        <v>60.899145144257922</v>
      </c>
      <c r="AA45" s="185"/>
      <c r="AB45" s="183">
        <v>43</v>
      </c>
      <c r="AC45" s="168"/>
      <c r="AD45" s="169"/>
      <c r="AE45" s="169"/>
      <c r="AF45" s="170"/>
      <c r="AG45" s="171"/>
      <c r="AH45" s="172"/>
      <c r="AI45" s="172"/>
      <c r="AJ45" s="185"/>
      <c r="AK45" s="183">
        <v>43</v>
      </c>
      <c r="AL45" s="168"/>
      <c r="AM45" s="169"/>
      <c r="AN45" s="169"/>
      <c r="AO45" s="170"/>
      <c r="AP45" s="171"/>
      <c r="AQ45" s="172"/>
      <c r="AR45" s="244"/>
      <c r="AS45" s="185"/>
    </row>
    <row r="46" spans="1:53" x14ac:dyDescent="0.2">
      <c r="A46" s="77">
        <v>44</v>
      </c>
      <c r="B46" s="224"/>
      <c r="C46" s="9"/>
      <c r="D46" s="9"/>
      <c r="E46" s="69"/>
      <c r="F46" s="70"/>
      <c r="G46" s="158"/>
      <c r="H46" s="157"/>
      <c r="I46" s="74"/>
      <c r="J46" s="77">
        <v>44</v>
      </c>
      <c r="K46" s="8"/>
      <c r="L46" s="9"/>
      <c r="M46" s="9"/>
      <c r="N46" s="9"/>
      <c r="O46" s="45"/>
      <c r="P46" s="93"/>
      <c r="Q46" s="160"/>
      <c r="R46" s="167"/>
      <c r="S46" s="183">
        <f t="shared" si="0"/>
        <v>44</v>
      </c>
      <c r="T46" s="168" t="s">
        <v>515</v>
      </c>
      <c r="U46" s="169" t="s">
        <v>6</v>
      </c>
      <c r="V46" s="169" t="s">
        <v>48</v>
      </c>
      <c r="W46" s="170">
        <v>2</v>
      </c>
      <c r="X46" s="171">
        <v>0</v>
      </c>
      <c r="Y46" s="172">
        <v>61.942787730679619</v>
      </c>
      <c r="Z46" s="244">
        <v>60.865468930607861</v>
      </c>
      <c r="AA46" s="185"/>
      <c r="AB46" s="183">
        <v>44</v>
      </c>
      <c r="AC46" s="168"/>
      <c r="AD46" s="169"/>
      <c r="AE46" s="169"/>
      <c r="AF46" s="170"/>
      <c r="AG46" s="171"/>
      <c r="AH46" s="172"/>
      <c r="AI46" s="172"/>
      <c r="AJ46" s="185"/>
      <c r="AK46" s="183">
        <v>44</v>
      </c>
      <c r="AL46" s="168"/>
      <c r="AM46" s="169"/>
      <c r="AN46" s="169"/>
      <c r="AO46" s="170"/>
      <c r="AP46" s="171"/>
      <c r="AQ46" s="172"/>
      <c r="AR46" s="244"/>
      <c r="AS46" s="185"/>
    </row>
    <row r="47" spans="1:53" x14ac:dyDescent="0.2">
      <c r="A47" s="77">
        <v>45</v>
      </c>
      <c r="B47" s="224"/>
      <c r="C47" s="9"/>
      <c r="D47" s="9"/>
      <c r="E47" s="69"/>
      <c r="F47" s="45"/>
      <c r="G47" s="93"/>
      <c r="H47" s="157"/>
      <c r="I47" s="74"/>
      <c r="J47" s="77">
        <v>45</v>
      </c>
      <c r="K47" s="8"/>
      <c r="L47" s="9"/>
      <c r="M47" s="9"/>
      <c r="N47" s="9"/>
      <c r="O47" s="45"/>
      <c r="P47" s="93"/>
      <c r="Q47" s="160"/>
      <c r="R47" s="167"/>
      <c r="S47" s="183">
        <f t="shared" si="0"/>
        <v>45</v>
      </c>
      <c r="T47" s="168" t="s">
        <v>355</v>
      </c>
      <c r="U47" s="169" t="s">
        <v>6</v>
      </c>
      <c r="V47" s="169" t="s">
        <v>31</v>
      </c>
      <c r="W47" s="170">
        <v>3</v>
      </c>
      <c r="X47" s="171">
        <v>0</v>
      </c>
      <c r="Y47" s="172">
        <v>59.55347714690572</v>
      </c>
      <c r="Z47" s="244">
        <v>58.517713615904213</v>
      </c>
      <c r="AA47" s="185"/>
      <c r="AB47" s="183">
        <v>45</v>
      </c>
      <c r="AC47" s="168"/>
      <c r="AD47" s="169"/>
      <c r="AE47" s="169"/>
      <c r="AF47" s="170"/>
      <c r="AG47" s="171"/>
      <c r="AH47" s="172"/>
      <c r="AI47" s="172"/>
      <c r="AJ47" s="185"/>
      <c r="AK47" s="183">
        <v>45</v>
      </c>
      <c r="AL47" s="168"/>
      <c r="AM47" s="169"/>
      <c r="AN47" s="169"/>
      <c r="AO47" s="170"/>
      <c r="AP47" s="171"/>
      <c r="AQ47" s="172"/>
      <c r="AR47" s="244"/>
      <c r="AS47" s="185"/>
    </row>
    <row r="48" spans="1:53" x14ac:dyDescent="0.2">
      <c r="A48" s="77">
        <v>46</v>
      </c>
      <c r="B48" s="224"/>
      <c r="C48" s="9"/>
      <c r="D48" s="9"/>
      <c r="E48" s="69"/>
      <c r="F48" s="45"/>
      <c r="G48" s="93"/>
      <c r="H48" s="157"/>
      <c r="I48" s="74"/>
      <c r="J48" s="77">
        <v>46</v>
      </c>
      <c r="K48" s="8"/>
      <c r="L48" s="9"/>
      <c r="M48" s="9"/>
      <c r="N48" s="9"/>
      <c r="O48" s="45"/>
      <c r="P48" s="93"/>
      <c r="Q48" s="160"/>
      <c r="R48" s="167"/>
      <c r="S48" s="183">
        <f t="shared" si="0"/>
        <v>46</v>
      </c>
      <c r="T48" s="168" t="s">
        <v>368</v>
      </c>
      <c r="U48" s="169" t="s">
        <v>6</v>
      </c>
      <c r="V48" s="169" t="s">
        <v>30</v>
      </c>
      <c r="W48" s="170">
        <v>2</v>
      </c>
      <c r="X48" s="171">
        <v>0</v>
      </c>
      <c r="Y48" s="172">
        <v>59.544368595888201</v>
      </c>
      <c r="Z48" s="244">
        <v>58.508763482252334</v>
      </c>
      <c r="AA48" s="185"/>
      <c r="AB48" s="183">
        <v>46</v>
      </c>
      <c r="AC48" s="168"/>
      <c r="AD48" s="169"/>
      <c r="AE48" s="169"/>
      <c r="AF48" s="170"/>
      <c r="AG48" s="171"/>
      <c r="AH48" s="172"/>
      <c r="AI48" s="172"/>
      <c r="AJ48" s="185"/>
      <c r="AK48" s="183">
        <v>46</v>
      </c>
      <c r="AL48" s="168"/>
      <c r="AM48" s="169"/>
      <c r="AN48" s="169"/>
      <c r="AO48" s="170"/>
      <c r="AP48" s="171"/>
      <c r="AQ48" s="172"/>
      <c r="AR48" s="244"/>
      <c r="AS48" s="185"/>
    </row>
    <row r="49" spans="1:45" x14ac:dyDescent="0.2">
      <c r="A49" s="77">
        <v>47</v>
      </c>
      <c r="B49" s="224"/>
      <c r="C49" s="9"/>
      <c r="D49" s="9"/>
      <c r="E49" s="69"/>
      <c r="F49" s="45"/>
      <c r="G49" s="93"/>
      <c r="H49" s="157"/>
      <c r="I49" s="74"/>
      <c r="J49" s="77">
        <v>47</v>
      </c>
      <c r="K49" s="8"/>
      <c r="L49" s="9"/>
      <c r="M49" s="9"/>
      <c r="N49" s="9"/>
      <c r="O49" s="45"/>
      <c r="P49" s="93"/>
      <c r="Q49" s="160"/>
      <c r="R49" s="167"/>
      <c r="S49" s="183">
        <f t="shared" si="0"/>
        <v>47</v>
      </c>
      <c r="T49" s="168" t="s">
        <v>432</v>
      </c>
      <c r="U49" s="169" t="s">
        <v>5</v>
      </c>
      <c r="V49" s="169" t="s">
        <v>37</v>
      </c>
      <c r="W49" s="170">
        <v>1</v>
      </c>
      <c r="X49" s="171">
        <v>0</v>
      </c>
      <c r="Y49" s="172">
        <v>59.232048151741779</v>
      </c>
      <c r="Z49" s="244">
        <v>58.201874964863698</v>
      </c>
      <c r="AA49" s="185"/>
      <c r="AB49" s="183">
        <v>47</v>
      </c>
      <c r="AC49" s="168"/>
      <c r="AD49" s="169"/>
      <c r="AE49" s="169"/>
      <c r="AF49" s="170"/>
      <c r="AG49" s="171"/>
      <c r="AH49" s="172"/>
      <c r="AI49" s="172"/>
      <c r="AJ49" s="185"/>
      <c r="AK49" s="183">
        <v>47</v>
      </c>
      <c r="AL49" s="168"/>
      <c r="AM49" s="169"/>
      <c r="AN49" s="169"/>
      <c r="AO49" s="170"/>
      <c r="AP49" s="171"/>
      <c r="AQ49" s="172"/>
      <c r="AR49" s="244"/>
      <c r="AS49" s="185"/>
    </row>
    <row r="50" spans="1:45" x14ac:dyDescent="0.2">
      <c r="A50" s="77">
        <v>48</v>
      </c>
      <c r="B50" s="224"/>
      <c r="C50" s="9"/>
      <c r="D50" s="9"/>
      <c r="E50" s="69"/>
      <c r="F50" s="45"/>
      <c r="G50" s="93"/>
      <c r="H50" s="157"/>
      <c r="I50" s="74"/>
      <c r="J50" s="77">
        <v>48</v>
      </c>
      <c r="K50" s="8"/>
      <c r="L50" s="9"/>
      <c r="M50" s="9"/>
      <c r="N50" s="9"/>
      <c r="O50" s="45"/>
      <c r="P50" s="93"/>
      <c r="Q50" s="160"/>
      <c r="R50" s="167"/>
      <c r="S50" s="183">
        <f t="shared" si="0"/>
        <v>48</v>
      </c>
      <c r="T50" s="168" t="s">
        <v>516</v>
      </c>
      <c r="U50" s="169" t="s">
        <v>6</v>
      </c>
      <c r="V50" s="169" t="s">
        <v>48</v>
      </c>
      <c r="W50" s="170">
        <v>2</v>
      </c>
      <c r="X50" s="171">
        <v>0</v>
      </c>
      <c r="Y50" s="172">
        <v>58.892445250960151</v>
      </c>
      <c r="Z50" s="244">
        <v>57.868178491657815</v>
      </c>
      <c r="AA50" s="185"/>
      <c r="AB50" s="183">
        <v>48</v>
      </c>
      <c r="AC50" s="168"/>
      <c r="AD50" s="169"/>
      <c r="AE50" s="169"/>
      <c r="AF50" s="170"/>
      <c r="AG50" s="171"/>
      <c r="AH50" s="172"/>
      <c r="AI50" s="172"/>
      <c r="AJ50" s="185"/>
      <c r="AK50" s="183">
        <v>48</v>
      </c>
      <c r="AL50" s="168"/>
      <c r="AM50" s="169"/>
      <c r="AN50" s="169"/>
      <c r="AO50" s="170"/>
      <c r="AP50" s="171"/>
      <c r="AQ50" s="172"/>
      <c r="AR50" s="244"/>
      <c r="AS50" s="185"/>
    </row>
    <row r="51" spans="1:45" x14ac:dyDescent="0.2">
      <c r="A51" s="77">
        <v>49</v>
      </c>
      <c r="B51" s="224"/>
      <c r="C51" s="9"/>
      <c r="D51" s="9"/>
      <c r="E51" s="69"/>
      <c r="F51" s="70"/>
      <c r="G51" s="158"/>
      <c r="H51" s="157"/>
      <c r="I51" s="74"/>
      <c r="J51" s="77">
        <v>49</v>
      </c>
      <c r="K51" s="8"/>
      <c r="L51" s="9"/>
      <c r="M51" s="9"/>
      <c r="N51" s="9"/>
      <c r="O51" s="45"/>
      <c r="P51" s="93"/>
      <c r="Q51" s="160"/>
      <c r="R51" s="167"/>
      <c r="S51" s="183">
        <f t="shared" si="0"/>
        <v>49</v>
      </c>
      <c r="T51" s="168" t="s">
        <v>367</v>
      </c>
      <c r="U51" s="169" t="s">
        <v>6</v>
      </c>
      <c r="V51" s="169" t="s">
        <v>31</v>
      </c>
      <c r="W51" s="170">
        <v>2</v>
      </c>
      <c r="X51" s="171">
        <v>0</v>
      </c>
      <c r="Y51" s="172">
        <v>58.693311595340241</v>
      </c>
      <c r="Z51" s="244">
        <v>57.672508200196759</v>
      </c>
      <c r="AA51" s="185"/>
      <c r="AB51" s="183">
        <v>49</v>
      </c>
      <c r="AC51" s="168"/>
      <c r="AD51" s="169"/>
      <c r="AE51" s="169"/>
      <c r="AF51" s="170"/>
      <c r="AG51" s="171"/>
      <c r="AH51" s="172"/>
      <c r="AI51" s="172"/>
      <c r="AJ51" s="185"/>
      <c r="AK51" s="183">
        <v>49</v>
      </c>
      <c r="AL51" s="168"/>
      <c r="AM51" s="169"/>
      <c r="AN51" s="169"/>
      <c r="AO51" s="170"/>
      <c r="AP51" s="171"/>
      <c r="AQ51" s="172"/>
      <c r="AR51" s="244"/>
      <c r="AS51" s="185"/>
    </row>
    <row r="52" spans="1:45" x14ac:dyDescent="0.2">
      <c r="A52" s="77">
        <v>50</v>
      </c>
      <c r="B52" s="224"/>
      <c r="C52" s="9"/>
      <c r="D52" s="9"/>
      <c r="E52" s="69"/>
      <c r="F52" s="45"/>
      <c r="G52" s="93"/>
      <c r="H52" s="157"/>
      <c r="I52" s="74"/>
      <c r="J52" s="77">
        <v>50</v>
      </c>
      <c r="K52" s="8"/>
      <c r="L52" s="9"/>
      <c r="M52" s="9"/>
      <c r="N52" s="9"/>
      <c r="O52" s="45"/>
      <c r="P52" s="93"/>
      <c r="Q52" s="160"/>
      <c r="R52" s="167"/>
      <c r="S52" s="183">
        <f t="shared" si="0"/>
        <v>50</v>
      </c>
      <c r="T52" s="168" t="s">
        <v>311</v>
      </c>
      <c r="U52" s="169" t="s">
        <v>5</v>
      </c>
      <c r="V52" s="169" t="s">
        <v>37</v>
      </c>
      <c r="W52" s="169">
        <v>4</v>
      </c>
      <c r="X52" s="171">
        <v>43.718422824106256</v>
      </c>
      <c r="Y52" s="171">
        <v>57.982039067147156</v>
      </c>
      <c r="Z52" s="244">
        <v>56.973606236756567</v>
      </c>
      <c r="AA52" s="185"/>
      <c r="AB52" s="183">
        <v>50</v>
      </c>
      <c r="AC52" s="168"/>
      <c r="AD52" s="169"/>
      <c r="AE52" s="169"/>
      <c r="AF52" s="170"/>
      <c r="AG52" s="171"/>
      <c r="AH52" s="172"/>
      <c r="AI52" s="172"/>
      <c r="AJ52" s="185"/>
      <c r="AK52" s="183">
        <v>50</v>
      </c>
      <c r="AL52" s="168"/>
      <c r="AM52" s="169"/>
      <c r="AN52" s="169"/>
      <c r="AO52" s="170"/>
      <c r="AP52" s="171"/>
      <c r="AQ52" s="172"/>
      <c r="AR52" s="244"/>
      <c r="AS52" s="185"/>
    </row>
    <row r="53" spans="1:45" x14ac:dyDescent="0.2">
      <c r="A53" s="77">
        <v>51</v>
      </c>
      <c r="B53" s="224"/>
      <c r="C53" s="9"/>
      <c r="D53" s="9"/>
      <c r="E53" s="69"/>
      <c r="F53" s="45"/>
      <c r="G53" s="93"/>
      <c r="H53" s="157"/>
      <c r="I53" s="74"/>
      <c r="J53" s="77">
        <v>51</v>
      </c>
      <c r="K53" s="8"/>
      <c r="L53" s="9"/>
      <c r="M53" s="9"/>
      <c r="N53" s="9"/>
      <c r="O53" s="45"/>
      <c r="P53" s="93"/>
      <c r="Q53" s="160"/>
      <c r="R53" s="167"/>
      <c r="S53" s="183">
        <f t="shared" si="0"/>
        <v>51</v>
      </c>
      <c r="T53" s="168" t="s">
        <v>356</v>
      </c>
      <c r="U53" s="169" t="s">
        <v>6</v>
      </c>
      <c r="V53" s="169" t="s">
        <v>31</v>
      </c>
      <c r="W53" s="170">
        <v>2</v>
      </c>
      <c r="X53" s="171">
        <v>0</v>
      </c>
      <c r="Y53" s="172">
        <v>57.729254109408629</v>
      </c>
      <c r="Z53" s="244">
        <v>56.725217755142609</v>
      </c>
      <c r="AA53" s="185"/>
      <c r="AB53" s="183">
        <v>51</v>
      </c>
      <c r="AC53" s="168"/>
      <c r="AD53" s="169"/>
      <c r="AE53" s="169"/>
      <c r="AF53" s="170"/>
      <c r="AG53" s="171"/>
      <c r="AH53" s="172"/>
      <c r="AI53" s="172"/>
      <c r="AJ53" s="185"/>
      <c r="AK53" s="183">
        <v>51</v>
      </c>
      <c r="AL53" s="168"/>
      <c r="AM53" s="169"/>
      <c r="AN53" s="169"/>
      <c r="AO53" s="170"/>
      <c r="AP53" s="171"/>
      <c r="AQ53" s="172"/>
      <c r="AR53" s="244"/>
      <c r="AS53" s="185"/>
    </row>
    <row r="54" spans="1:45" x14ac:dyDescent="0.2">
      <c r="A54" s="77">
        <v>52</v>
      </c>
      <c r="B54" s="225"/>
      <c r="C54" s="9"/>
      <c r="D54" s="9"/>
      <c r="E54" s="69"/>
      <c r="F54" s="70"/>
      <c r="G54" s="158"/>
      <c r="H54" s="157"/>
      <c r="I54" s="74"/>
      <c r="J54" s="77">
        <v>52</v>
      </c>
      <c r="K54" s="8"/>
      <c r="L54" s="9"/>
      <c r="M54" s="9"/>
      <c r="N54" s="9"/>
      <c r="O54" s="45"/>
      <c r="P54" s="93"/>
      <c r="Q54" s="160"/>
      <c r="R54" s="167"/>
      <c r="S54" s="183">
        <f t="shared" si="0"/>
        <v>52</v>
      </c>
      <c r="T54" s="168" t="s">
        <v>275</v>
      </c>
      <c r="U54" s="169" t="s">
        <v>5</v>
      </c>
      <c r="V54" s="169" t="s">
        <v>43</v>
      </c>
      <c r="W54" s="170">
        <v>4</v>
      </c>
      <c r="X54" s="171">
        <v>58.275611717619917</v>
      </c>
      <c r="Y54" s="172">
        <v>57.478036817729624</v>
      </c>
      <c r="Z54" s="244">
        <v>56.478369674491134</v>
      </c>
      <c r="AA54" s="185"/>
      <c r="AB54" s="183">
        <v>52</v>
      </c>
      <c r="AC54" s="168"/>
      <c r="AD54" s="169"/>
      <c r="AE54" s="169"/>
      <c r="AF54" s="170"/>
      <c r="AG54" s="171"/>
      <c r="AH54" s="172"/>
      <c r="AI54" s="172"/>
      <c r="AJ54" s="185"/>
      <c r="AK54" s="183">
        <v>52</v>
      </c>
      <c r="AL54" s="168"/>
      <c r="AM54" s="169"/>
      <c r="AN54" s="169"/>
      <c r="AO54" s="170"/>
      <c r="AP54" s="171"/>
      <c r="AQ54" s="172"/>
      <c r="AR54" s="244"/>
      <c r="AS54" s="185"/>
    </row>
    <row r="55" spans="1:45" x14ac:dyDescent="0.2">
      <c r="A55" s="77">
        <v>53</v>
      </c>
      <c r="B55" s="224"/>
      <c r="C55" s="9"/>
      <c r="D55" s="9"/>
      <c r="E55" s="69"/>
      <c r="F55" s="45"/>
      <c r="G55" s="93"/>
      <c r="H55" s="157"/>
      <c r="I55" s="74"/>
      <c r="J55" s="77">
        <v>53</v>
      </c>
      <c r="K55" s="8"/>
      <c r="L55" s="9"/>
      <c r="M55" s="9"/>
      <c r="N55" s="9"/>
      <c r="O55" s="45"/>
      <c r="P55" s="93"/>
      <c r="Q55" s="160"/>
      <c r="R55" s="167"/>
      <c r="S55" s="183">
        <f t="shared" si="0"/>
        <v>53</v>
      </c>
      <c r="T55" s="168" t="s">
        <v>377</v>
      </c>
      <c r="U55" s="169" t="s">
        <v>5</v>
      </c>
      <c r="V55" s="169" t="s">
        <v>51</v>
      </c>
      <c r="W55" s="169">
        <v>1</v>
      </c>
      <c r="X55" s="171">
        <v>0</v>
      </c>
      <c r="Y55" s="171">
        <v>57.430528542544415</v>
      </c>
      <c r="Z55" s="244">
        <v>56.431687670771758</v>
      </c>
      <c r="AA55" s="185"/>
      <c r="AB55" s="183">
        <v>53</v>
      </c>
      <c r="AC55" s="168"/>
      <c r="AD55" s="169"/>
      <c r="AE55" s="169"/>
      <c r="AF55" s="170"/>
      <c r="AG55" s="171"/>
      <c r="AH55" s="172"/>
      <c r="AI55" s="172"/>
      <c r="AJ55" s="185"/>
      <c r="AK55" s="183">
        <v>53</v>
      </c>
      <c r="AL55" s="168"/>
      <c r="AM55" s="169"/>
      <c r="AN55" s="169"/>
      <c r="AO55" s="170"/>
      <c r="AP55" s="171"/>
      <c r="AQ55" s="172"/>
      <c r="AR55" s="244"/>
      <c r="AS55" s="185"/>
    </row>
    <row r="56" spans="1:45" x14ac:dyDescent="0.2">
      <c r="A56" s="77">
        <v>54</v>
      </c>
      <c r="B56" s="224"/>
      <c r="C56" s="9"/>
      <c r="D56" s="9"/>
      <c r="E56" s="69"/>
      <c r="F56" s="45"/>
      <c r="G56" s="93"/>
      <c r="H56" s="157"/>
      <c r="I56" s="74"/>
      <c r="J56" s="78">
        <v>54</v>
      </c>
      <c r="K56" s="75"/>
      <c r="L56" s="12"/>
      <c r="M56" s="12"/>
      <c r="N56" s="12"/>
      <c r="O56" s="49"/>
      <c r="P56" s="151"/>
      <c r="Q56" s="160"/>
      <c r="R56" s="167"/>
      <c r="S56" s="183">
        <f t="shared" si="0"/>
        <v>54</v>
      </c>
      <c r="T56" s="168" t="s">
        <v>312</v>
      </c>
      <c r="U56" s="169" t="s">
        <v>5</v>
      </c>
      <c r="V56" s="169" t="s">
        <v>48</v>
      </c>
      <c r="W56" s="170">
        <v>7</v>
      </c>
      <c r="X56" s="171">
        <v>52.452932111557999</v>
      </c>
      <c r="Y56" s="172">
        <v>57.046715718970425</v>
      </c>
      <c r="Z56" s="244">
        <v>56.054550180770789</v>
      </c>
      <c r="AA56" s="185"/>
      <c r="AB56" s="183">
        <v>54</v>
      </c>
      <c r="AC56" s="168"/>
      <c r="AD56" s="169"/>
      <c r="AE56" s="169"/>
      <c r="AF56" s="170"/>
      <c r="AG56" s="171"/>
      <c r="AH56" s="172"/>
      <c r="AI56" s="172"/>
      <c r="AJ56" s="185"/>
      <c r="AK56" s="183">
        <v>54</v>
      </c>
      <c r="AL56" s="168"/>
      <c r="AM56" s="169"/>
      <c r="AN56" s="169"/>
      <c r="AO56" s="170"/>
      <c r="AP56" s="171"/>
      <c r="AQ56" s="172"/>
      <c r="AR56" s="244"/>
      <c r="AS56" s="185"/>
    </row>
    <row r="57" spans="1:45" x14ac:dyDescent="0.2">
      <c r="A57" s="77">
        <v>55</v>
      </c>
      <c r="B57" s="225"/>
      <c r="C57" s="9"/>
      <c r="D57" s="9"/>
      <c r="E57" s="69"/>
      <c r="F57" s="70"/>
      <c r="G57" s="158"/>
      <c r="H57" s="157"/>
      <c r="I57" s="74"/>
      <c r="J57" s="142"/>
      <c r="K57" s="22"/>
      <c r="L57" s="23"/>
      <c r="M57" s="23"/>
      <c r="N57" s="23"/>
      <c r="O57" s="268"/>
      <c r="P57" s="269"/>
      <c r="Q57" s="160"/>
      <c r="R57" s="167"/>
      <c r="S57" s="183">
        <f t="shared" si="0"/>
        <v>55</v>
      </c>
      <c r="T57" s="168" t="s">
        <v>257</v>
      </c>
      <c r="U57" s="169" t="s">
        <v>5</v>
      </c>
      <c r="V57" s="169" t="s">
        <v>36</v>
      </c>
      <c r="W57" s="170">
        <v>11</v>
      </c>
      <c r="X57" s="171">
        <v>49.933028757872883</v>
      </c>
      <c r="Y57" s="172">
        <v>56.650566978234679</v>
      </c>
      <c r="Z57" s="244">
        <v>55.66529132183814</v>
      </c>
      <c r="AA57" s="185"/>
      <c r="AB57" s="183">
        <v>55</v>
      </c>
      <c r="AC57" s="168"/>
      <c r="AD57" s="169"/>
      <c r="AE57" s="169"/>
      <c r="AF57" s="170"/>
      <c r="AG57" s="171"/>
      <c r="AH57" s="172"/>
      <c r="AI57" s="172"/>
      <c r="AJ57" s="185"/>
      <c r="AK57" s="183">
        <v>55</v>
      </c>
      <c r="AL57" s="168"/>
      <c r="AM57" s="169"/>
      <c r="AN57" s="169"/>
      <c r="AO57" s="170"/>
      <c r="AP57" s="171"/>
      <c r="AQ57" s="172"/>
      <c r="AR57" s="244"/>
      <c r="AS57" s="185"/>
    </row>
    <row r="58" spans="1:45" x14ac:dyDescent="0.2">
      <c r="A58" s="77">
        <v>56</v>
      </c>
      <c r="B58" s="224"/>
      <c r="C58" s="9"/>
      <c r="D58" s="9"/>
      <c r="E58" s="69"/>
      <c r="F58" s="45"/>
      <c r="G58" s="93"/>
      <c r="H58" s="157"/>
      <c r="I58" s="74"/>
      <c r="J58" s="77"/>
      <c r="K58" s="8"/>
      <c r="L58" s="9"/>
      <c r="M58" s="9"/>
      <c r="N58" s="9"/>
      <c r="O58" s="45"/>
      <c r="P58" s="93"/>
      <c r="Q58" s="160"/>
      <c r="R58" s="167"/>
      <c r="S58" s="183">
        <f t="shared" si="0"/>
        <v>56</v>
      </c>
      <c r="T58" s="168" t="s">
        <v>310</v>
      </c>
      <c r="U58" s="169" t="s">
        <v>5</v>
      </c>
      <c r="V58" s="169" t="s">
        <v>48</v>
      </c>
      <c r="W58" s="170">
        <v>7</v>
      </c>
      <c r="X58" s="171">
        <v>53.048121598438328</v>
      </c>
      <c r="Y58" s="172">
        <v>56.240693321537222</v>
      </c>
      <c r="Z58" s="244">
        <v>55.262546252861569</v>
      </c>
      <c r="AA58" s="185"/>
      <c r="AB58" s="183">
        <v>56</v>
      </c>
      <c r="AC58" s="168"/>
      <c r="AD58" s="169"/>
      <c r="AE58" s="169"/>
      <c r="AF58" s="170"/>
      <c r="AG58" s="171"/>
      <c r="AH58" s="172"/>
      <c r="AI58" s="172"/>
      <c r="AJ58" s="185"/>
      <c r="AK58" s="183">
        <v>56</v>
      </c>
      <c r="AL58" s="168"/>
      <c r="AM58" s="169"/>
      <c r="AN58" s="169"/>
      <c r="AO58" s="170"/>
      <c r="AP58" s="171"/>
      <c r="AQ58" s="172"/>
      <c r="AR58" s="244"/>
      <c r="AS58" s="185"/>
    </row>
    <row r="59" spans="1:45" x14ac:dyDescent="0.2">
      <c r="A59" s="77">
        <v>57</v>
      </c>
      <c r="B59" s="224"/>
      <c r="C59" s="9"/>
      <c r="D59" s="9"/>
      <c r="E59" s="69"/>
      <c r="F59" s="70"/>
      <c r="G59" s="158"/>
      <c r="H59" s="157"/>
      <c r="I59" s="74"/>
      <c r="J59" s="77"/>
      <c r="K59" s="8"/>
      <c r="L59" s="9"/>
      <c r="M59" s="9"/>
      <c r="N59" s="9"/>
      <c r="O59" s="45"/>
      <c r="P59" s="93"/>
      <c r="Q59" s="160"/>
      <c r="R59" s="167"/>
      <c r="S59" s="183">
        <f t="shared" si="0"/>
        <v>57</v>
      </c>
      <c r="T59" s="168" t="s">
        <v>435</v>
      </c>
      <c r="U59" s="169" t="s">
        <v>5</v>
      </c>
      <c r="V59" s="169" t="s">
        <v>37</v>
      </c>
      <c r="W59" s="170">
        <v>1</v>
      </c>
      <c r="X59" s="171">
        <v>0</v>
      </c>
      <c r="Y59" s="172">
        <v>55.592954997321044</v>
      </c>
      <c r="Z59" s="244">
        <v>54.626073496434167</v>
      </c>
      <c r="AA59" s="185"/>
      <c r="AB59" s="183">
        <v>57</v>
      </c>
      <c r="AC59" s="168"/>
      <c r="AD59" s="169"/>
      <c r="AE59" s="169"/>
      <c r="AF59" s="170"/>
      <c r="AG59" s="171"/>
      <c r="AH59" s="172"/>
      <c r="AI59" s="172"/>
      <c r="AJ59" s="185"/>
      <c r="AK59" s="183">
        <v>57</v>
      </c>
      <c r="AL59" s="168"/>
      <c r="AM59" s="169"/>
      <c r="AN59" s="169"/>
      <c r="AO59" s="170"/>
      <c r="AP59" s="171"/>
      <c r="AQ59" s="172"/>
      <c r="AR59" s="244"/>
      <c r="AS59" s="185"/>
    </row>
    <row r="60" spans="1:45" x14ac:dyDescent="0.2">
      <c r="A60" s="77">
        <v>58</v>
      </c>
      <c r="B60" s="224"/>
      <c r="C60" s="9"/>
      <c r="D60" s="9"/>
      <c r="E60" s="69"/>
      <c r="F60" s="70"/>
      <c r="G60" s="158"/>
      <c r="H60" s="157"/>
      <c r="I60" s="74"/>
      <c r="J60" s="77"/>
      <c r="K60" s="8"/>
      <c r="L60" s="9"/>
      <c r="M60" s="9"/>
      <c r="N60" s="9"/>
      <c r="O60" s="45"/>
      <c r="P60" s="93"/>
      <c r="Q60" s="160"/>
      <c r="R60" s="167"/>
      <c r="S60" s="183">
        <f t="shared" si="0"/>
        <v>58</v>
      </c>
      <c r="T60" s="168" t="s">
        <v>255</v>
      </c>
      <c r="U60" s="169" t="s">
        <v>6</v>
      </c>
      <c r="V60" s="169" t="s">
        <v>30</v>
      </c>
      <c r="W60" s="170">
        <v>2</v>
      </c>
      <c r="X60" s="171">
        <v>52.736327066935715</v>
      </c>
      <c r="Y60" s="172">
        <v>55.437417046027647</v>
      </c>
      <c r="Z60" s="244">
        <v>54.473240685887447</v>
      </c>
      <c r="AA60" s="185"/>
      <c r="AB60" s="183">
        <v>58</v>
      </c>
      <c r="AC60" s="168"/>
      <c r="AD60" s="169"/>
      <c r="AE60" s="169"/>
      <c r="AF60" s="170"/>
      <c r="AG60" s="171"/>
      <c r="AH60" s="172"/>
      <c r="AI60" s="172"/>
      <c r="AJ60" s="185"/>
      <c r="AK60" s="183">
        <v>58</v>
      </c>
      <c r="AL60" s="168"/>
      <c r="AM60" s="169"/>
      <c r="AN60" s="169"/>
      <c r="AO60" s="170"/>
      <c r="AP60" s="171"/>
      <c r="AQ60" s="172"/>
      <c r="AR60" s="244"/>
      <c r="AS60" s="185"/>
    </row>
    <row r="61" spans="1:45" x14ac:dyDescent="0.2">
      <c r="A61" s="77">
        <v>59</v>
      </c>
      <c r="B61" s="224"/>
      <c r="C61" s="9"/>
      <c r="D61" s="9"/>
      <c r="E61" s="69"/>
      <c r="F61" s="70"/>
      <c r="G61" s="158"/>
      <c r="H61" s="157"/>
      <c r="I61" s="74"/>
      <c r="J61" s="77"/>
      <c r="K61" s="8"/>
      <c r="L61" s="9"/>
      <c r="M61" s="9"/>
      <c r="N61" s="9"/>
      <c r="O61" s="45"/>
      <c r="P61" s="93"/>
      <c r="Q61" s="160"/>
      <c r="R61" s="167"/>
      <c r="S61" s="183">
        <f t="shared" si="0"/>
        <v>59</v>
      </c>
      <c r="T61" s="168" t="s">
        <v>441</v>
      </c>
      <c r="U61" s="169" t="s">
        <v>5</v>
      </c>
      <c r="V61" s="169" t="s">
        <v>37</v>
      </c>
      <c r="W61" s="170">
        <v>1</v>
      </c>
      <c r="X61" s="171">
        <v>0</v>
      </c>
      <c r="Y61" s="172">
        <v>55.306266900451618</v>
      </c>
      <c r="Z61" s="244">
        <v>54.344371524468528</v>
      </c>
      <c r="AA61" s="185"/>
      <c r="AB61" s="183">
        <v>59</v>
      </c>
      <c r="AC61" s="168"/>
      <c r="AD61" s="169"/>
      <c r="AE61" s="169"/>
      <c r="AF61" s="170"/>
      <c r="AG61" s="171"/>
      <c r="AH61" s="172"/>
      <c r="AI61" s="172"/>
      <c r="AJ61" s="185"/>
      <c r="AK61" s="183">
        <v>59</v>
      </c>
      <c r="AL61" s="168"/>
      <c r="AM61" s="169"/>
      <c r="AN61" s="169"/>
      <c r="AO61" s="170"/>
      <c r="AP61" s="171"/>
      <c r="AQ61" s="172"/>
      <c r="AR61" s="244"/>
      <c r="AS61" s="185"/>
    </row>
    <row r="62" spans="1:45" x14ac:dyDescent="0.2">
      <c r="A62" s="77">
        <v>60</v>
      </c>
      <c r="B62" s="224"/>
      <c r="C62" s="9"/>
      <c r="D62" s="9"/>
      <c r="E62" s="69"/>
      <c r="F62" s="45"/>
      <c r="G62" s="93"/>
      <c r="H62" s="157"/>
      <c r="I62" s="74"/>
      <c r="J62" s="77"/>
      <c r="K62" s="8"/>
      <c r="L62" s="9"/>
      <c r="M62" s="9"/>
      <c r="N62" s="9"/>
      <c r="O62" s="45"/>
      <c r="P62" s="93"/>
      <c r="Q62" s="160"/>
      <c r="R62" s="167"/>
      <c r="S62" s="183">
        <f t="shared" si="0"/>
        <v>60</v>
      </c>
      <c r="T62" s="168" t="s">
        <v>357</v>
      </c>
      <c r="U62" s="169" t="s">
        <v>6</v>
      </c>
      <c r="V62" s="169" t="s">
        <v>31</v>
      </c>
      <c r="W62" s="170">
        <v>1</v>
      </c>
      <c r="X62" s="171">
        <v>0</v>
      </c>
      <c r="Y62" s="172">
        <v>55.094569064986921</v>
      </c>
      <c r="Z62" s="244">
        <v>54.136355571373606</v>
      </c>
      <c r="AA62" s="185"/>
      <c r="AB62" s="183">
        <v>60</v>
      </c>
      <c r="AC62" s="168"/>
      <c r="AD62" s="169"/>
      <c r="AE62" s="169"/>
      <c r="AF62" s="170"/>
      <c r="AG62" s="171"/>
      <c r="AH62" s="172"/>
      <c r="AI62" s="172"/>
      <c r="AJ62" s="185"/>
      <c r="AK62" s="183">
        <v>60</v>
      </c>
      <c r="AL62" s="168"/>
      <c r="AM62" s="169"/>
      <c r="AN62" s="169"/>
      <c r="AO62" s="170"/>
      <c r="AP62" s="171"/>
      <c r="AQ62" s="172"/>
      <c r="AR62" s="244"/>
      <c r="AS62" s="185"/>
    </row>
    <row r="63" spans="1:45" x14ac:dyDescent="0.2">
      <c r="A63" s="77">
        <v>61</v>
      </c>
      <c r="B63" s="225"/>
      <c r="C63" s="9"/>
      <c r="D63" s="9"/>
      <c r="E63" s="69"/>
      <c r="F63" s="70"/>
      <c r="G63" s="158"/>
      <c r="H63" s="157"/>
      <c r="I63" s="74"/>
      <c r="J63" s="77"/>
      <c r="K63" s="8"/>
      <c r="L63" s="9"/>
      <c r="M63" s="9"/>
      <c r="N63" s="9"/>
      <c r="O63" s="45"/>
      <c r="P63" s="93"/>
      <c r="Q63" s="160"/>
      <c r="R63" s="167"/>
      <c r="S63" s="183">
        <f t="shared" si="0"/>
        <v>61</v>
      </c>
      <c r="T63" s="168" t="s">
        <v>64</v>
      </c>
      <c r="U63" s="169" t="s">
        <v>5</v>
      </c>
      <c r="V63" s="169" t="s">
        <v>36</v>
      </c>
      <c r="W63" s="170">
        <v>8</v>
      </c>
      <c r="X63" s="171">
        <v>44.122608681632663</v>
      </c>
      <c r="Y63" s="172">
        <v>54.94488397823168</v>
      </c>
      <c r="Z63" s="244">
        <v>53.98927383141563</v>
      </c>
      <c r="AA63" s="185"/>
      <c r="AB63" s="183">
        <v>61</v>
      </c>
      <c r="AC63" s="168"/>
      <c r="AD63" s="169"/>
      <c r="AE63" s="169"/>
      <c r="AF63" s="170"/>
      <c r="AG63" s="171"/>
      <c r="AH63" s="172"/>
      <c r="AI63" s="172"/>
      <c r="AJ63" s="185"/>
      <c r="AK63" s="183">
        <v>61</v>
      </c>
      <c r="AL63" s="168"/>
      <c r="AM63" s="169"/>
      <c r="AN63" s="169"/>
      <c r="AO63" s="170"/>
      <c r="AP63" s="171"/>
      <c r="AQ63" s="172"/>
      <c r="AR63" s="244"/>
      <c r="AS63" s="185"/>
    </row>
    <row r="64" spans="1:45" x14ac:dyDescent="0.2">
      <c r="A64" s="77">
        <v>62</v>
      </c>
      <c r="B64" s="224"/>
      <c r="C64" s="9"/>
      <c r="D64" s="9"/>
      <c r="E64" s="69"/>
      <c r="F64" s="45"/>
      <c r="G64" s="93"/>
      <c r="H64" s="157"/>
      <c r="I64" s="74"/>
      <c r="J64" s="77"/>
      <c r="K64" s="8"/>
      <c r="L64" s="9"/>
      <c r="M64" s="9"/>
      <c r="N64" s="9"/>
      <c r="O64" s="45"/>
      <c r="P64" s="93"/>
      <c r="Q64" s="160"/>
      <c r="R64" s="167"/>
      <c r="S64" s="183">
        <f t="shared" si="0"/>
        <v>62</v>
      </c>
      <c r="T64" s="168" t="s">
        <v>438</v>
      </c>
      <c r="U64" s="169" t="s">
        <v>5</v>
      </c>
      <c r="V64" s="169" t="s">
        <v>37</v>
      </c>
      <c r="W64" s="170">
        <v>2</v>
      </c>
      <c r="X64" s="171">
        <v>0</v>
      </c>
      <c r="Y64" s="172">
        <v>54.864974210692871</v>
      </c>
      <c r="Z64" s="244">
        <v>53.910753867242676</v>
      </c>
      <c r="AA64" s="185"/>
      <c r="AB64" s="183">
        <v>62</v>
      </c>
      <c r="AC64" s="168"/>
      <c r="AD64" s="169"/>
      <c r="AE64" s="169"/>
      <c r="AF64" s="170"/>
      <c r="AG64" s="171"/>
      <c r="AH64" s="172"/>
      <c r="AI64" s="172"/>
      <c r="AJ64" s="185"/>
      <c r="AK64" s="183">
        <v>62</v>
      </c>
      <c r="AL64" s="168"/>
      <c r="AM64" s="169"/>
      <c r="AN64" s="169"/>
      <c r="AO64" s="170"/>
      <c r="AP64" s="171"/>
      <c r="AQ64" s="172"/>
      <c r="AR64" s="244"/>
      <c r="AS64" s="185"/>
    </row>
    <row r="65" spans="1:45" x14ac:dyDescent="0.2">
      <c r="A65" s="77">
        <v>63</v>
      </c>
      <c r="B65" s="225"/>
      <c r="C65" s="9"/>
      <c r="D65" s="9"/>
      <c r="E65" s="69"/>
      <c r="F65" s="70"/>
      <c r="G65" s="158"/>
      <c r="H65" s="157"/>
      <c r="I65" s="74"/>
      <c r="J65" s="77"/>
      <c r="K65" s="8"/>
      <c r="L65" s="9"/>
      <c r="M65" s="9"/>
      <c r="N65" s="9"/>
      <c r="O65" s="45"/>
      <c r="P65" s="93"/>
      <c r="Q65" s="160"/>
      <c r="R65" s="167"/>
      <c r="S65" s="183">
        <f t="shared" si="0"/>
        <v>63</v>
      </c>
      <c r="T65" s="168" t="s">
        <v>95</v>
      </c>
      <c r="U65" s="169" t="s">
        <v>5</v>
      </c>
      <c r="V65" s="169" t="s">
        <v>41</v>
      </c>
      <c r="W65" s="169">
        <v>2</v>
      </c>
      <c r="X65" s="171">
        <v>49.05459135796616</v>
      </c>
      <c r="Y65" s="171">
        <v>54.669978553773149</v>
      </c>
      <c r="Z65" s="172">
        <v>53.719149605751348</v>
      </c>
      <c r="AA65" s="185"/>
      <c r="AB65" s="183">
        <v>63</v>
      </c>
      <c r="AC65" s="168"/>
      <c r="AD65" s="169"/>
      <c r="AE65" s="169"/>
      <c r="AF65" s="170"/>
      <c r="AG65" s="171"/>
      <c r="AH65" s="172"/>
      <c r="AI65" s="172"/>
      <c r="AJ65" s="185"/>
      <c r="AK65" s="183">
        <v>63</v>
      </c>
      <c r="AL65" s="168"/>
      <c r="AM65" s="169"/>
      <c r="AN65" s="169"/>
      <c r="AO65" s="170"/>
      <c r="AP65" s="171"/>
      <c r="AQ65" s="172"/>
      <c r="AR65" s="244"/>
      <c r="AS65" s="185"/>
    </row>
    <row r="66" spans="1:45" x14ac:dyDescent="0.2">
      <c r="A66" s="77">
        <v>64</v>
      </c>
      <c r="B66" s="225"/>
      <c r="C66" s="9"/>
      <c r="D66" s="9"/>
      <c r="E66" s="69"/>
      <c r="F66" s="70"/>
      <c r="G66" s="158"/>
      <c r="H66" s="157"/>
      <c r="I66" s="74"/>
      <c r="J66" s="77"/>
      <c r="K66" s="8"/>
      <c r="L66" s="9"/>
      <c r="M66" s="9"/>
      <c r="N66" s="9"/>
      <c r="O66" s="45"/>
      <c r="P66" s="93"/>
      <c r="Q66" s="160"/>
      <c r="R66" s="167"/>
      <c r="S66" s="183">
        <f t="shared" si="0"/>
        <v>64</v>
      </c>
      <c r="T66" s="168" t="s">
        <v>459</v>
      </c>
      <c r="U66" s="169" t="s">
        <v>5</v>
      </c>
      <c r="V66" s="169" t="s">
        <v>51</v>
      </c>
      <c r="W66" s="170">
        <v>1</v>
      </c>
      <c r="X66" s="171">
        <v>0</v>
      </c>
      <c r="Y66" s="172">
        <v>54.602741271055336</v>
      </c>
      <c r="Z66" s="172">
        <v>53.653081724531141</v>
      </c>
      <c r="AA66" s="185"/>
      <c r="AB66" s="183">
        <v>64</v>
      </c>
      <c r="AC66" s="168"/>
      <c r="AD66" s="169"/>
      <c r="AE66" s="169"/>
      <c r="AF66" s="170"/>
      <c r="AG66" s="171"/>
      <c r="AH66" s="172"/>
      <c r="AI66" s="172"/>
      <c r="AJ66" s="185"/>
      <c r="AK66" s="183">
        <v>64</v>
      </c>
      <c r="AL66" s="168"/>
      <c r="AM66" s="169"/>
      <c r="AN66" s="169"/>
      <c r="AO66" s="170"/>
      <c r="AP66" s="171"/>
      <c r="AQ66" s="172"/>
      <c r="AR66" s="244"/>
      <c r="AS66" s="185"/>
    </row>
    <row r="67" spans="1:45" x14ac:dyDescent="0.2">
      <c r="A67" s="77">
        <v>65</v>
      </c>
      <c r="B67" s="224"/>
      <c r="C67" s="9"/>
      <c r="D67" s="9"/>
      <c r="E67" s="69"/>
      <c r="F67" s="45"/>
      <c r="G67" s="93"/>
      <c r="H67" s="157"/>
      <c r="I67" s="74"/>
      <c r="J67" s="77"/>
      <c r="K67" s="8"/>
      <c r="L67" s="9"/>
      <c r="M67" s="9"/>
      <c r="N67" s="9"/>
      <c r="O67" s="45"/>
      <c r="P67" s="93"/>
      <c r="Q67" s="160"/>
      <c r="R67" s="167"/>
      <c r="S67" s="237">
        <f t="shared" si="0"/>
        <v>65</v>
      </c>
      <c r="T67" s="238" t="s">
        <v>388</v>
      </c>
      <c r="U67" s="239" t="s">
        <v>6</v>
      </c>
      <c r="V67" s="239" t="s">
        <v>36</v>
      </c>
      <c r="W67" s="239">
        <v>1</v>
      </c>
      <c r="X67" s="241">
        <v>0</v>
      </c>
      <c r="Y67" s="241">
        <v>54.323060854774972</v>
      </c>
      <c r="Z67" s="242">
        <v>53.378265554461017</v>
      </c>
      <c r="AA67" s="185"/>
      <c r="AB67" s="183">
        <v>65</v>
      </c>
      <c r="AC67" s="168"/>
      <c r="AD67" s="169"/>
      <c r="AE67" s="169"/>
      <c r="AF67" s="170"/>
      <c r="AG67" s="171"/>
      <c r="AH67" s="172"/>
      <c r="AI67" s="172"/>
      <c r="AJ67" s="185"/>
      <c r="AK67" s="183">
        <v>65</v>
      </c>
      <c r="AL67" s="168"/>
      <c r="AM67" s="169"/>
      <c r="AN67" s="169"/>
      <c r="AO67" s="170"/>
      <c r="AP67" s="171"/>
      <c r="AQ67" s="172"/>
      <c r="AR67" s="244"/>
      <c r="AS67" s="185"/>
    </row>
    <row r="68" spans="1:45" x14ac:dyDescent="0.2">
      <c r="A68" s="77">
        <v>66</v>
      </c>
      <c r="B68" s="224"/>
      <c r="C68" s="9"/>
      <c r="D68" s="9"/>
      <c r="E68" s="69"/>
      <c r="F68" s="45"/>
      <c r="G68" s="93"/>
      <c r="H68" s="157"/>
      <c r="I68" s="74"/>
      <c r="J68" s="77"/>
      <c r="K68" s="8"/>
      <c r="L68" s="9"/>
      <c r="M68" s="9"/>
      <c r="N68" s="9"/>
      <c r="O68" s="45"/>
      <c r="P68" s="93"/>
      <c r="Q68" s="160"/>
      <c r="R68" s="167"/>
      <c r="S68" s="183">
        <f t="shared" si="0"/>
        <v>66</v>
      </c>
      <c r="T68" s="168" t="s">
        <v>232</v>
      </c>
      <c r="U68" s="169" t="s">
        <v>5</v>
      </c>
      <c r="V68" s="169" t="s">
        <v>39</v>
      </c>
      <c r="W68" s="169">
        <v>4</v>
      </c>
      <c r="X68" s="171">
        <v>51.757156474298945</v>
      </c>
      <c r="Y68" s="171">
        <v>54.191835596655203</v>
      </c>
      <c r="Z68" s="172">
        <v>53.249322586867649</v>
      </c>
      <c r="AA68" s="185"/>
      <c r="AB68" s="183">
        <v>66</v>
      </c>
      <c r="AC68" s="168"/>
      <c r="AD68" s="169"/>
      <c r="AE68" s="169"/>
      <c r="AF68" s="170"/>
      <c r="AG68" s="171"/>
      <c r="AH68" s="172"/>
      <c r="AI68" s="172"/>
      <c r="AJ68" s="185"/>
      <c r="AK68" s="183">
        <v>66</v>
      </c>
      <c r="AL68" s="168"/>
      <c r="AM68" s="169"/>
      <c r="AN68" s="169"/>
      <c r="AO68" s="170"/>
      <c r="AP68" s="171"/>
      <c r="AQ68" s="172"/>
      <c r="AR68" s="244"/>
      <c r="AS68" s="185"/>
    </row>
    <row r="69" spans="1:45" x14ac:dyDescent="0.2">
      <c r="A69" s="77">
        <v>67</v>
      </c>
      <c r="B69" s="224"/>
      <c r="C69" s="9"/>
      <c r="D69" s="9"/>
      <c r="E69" s="69"/>
      <c r="F69" s="70"/>
      <c r="G69" s="158"/>
      <c r="H69" s="157"/>
      <c r="I69" s="74"/>
      <c r="J69" s="77"/>
      <c r="K69" s="8"/>
      <c r="L69" s="9"/>
      <c r="M69" s="9"/>
      <c r="N69" s="9"/>
      <c r="O69" s="45"/>
      <c r="P69" s="93"/>
      <c r="Q69" s="160"/>
      <c r="R69" s="167"/>
      <c r="S69" s="183">
        <f t="shared" ref="S69:S132" si="1">S68+1</f>
        <v>67</v>
      </c>
      <c r="T69" s="168" t="s">
        <v>433</v>
      </c>
      <c r="U69" s="169" t="s">
        <v>5</v>
      </c>
      <c r="V69" s="169" t="s">
        <v>37</v>
      </c>
      <c r="W69" s="170">
        <v>2</v>
      </c>
      <c r="X69" s="171">
        <v>0</v>
      </c>
      <c r="Y69" s="172">
        <v>53.442718636241409</v>
      </c>
      <c r="Z69" s="172">
        <v>52.513234387581221</v>
      </c>
      <c r="AA69" s="185"/>
      <c r="AB69" s="183">
        <v>67</v>
      </c>
      <c r="AC69" s="168"/>
      <c r="AD69" s="169"/>
      <c r="AE69" s="169"/>
      <c r="AF69" s="170"/>
      <c r="AG69" s="171"/>
      <c r="AH69" s="172"/>
      <c r="AI69" s="172"/>
      <c r="AJ69" s="185"/>
      <c r="AK69" s="183">
        <v>67</v>
      </c>
      <c r="AL69" s="168"/>
      <c r="AM69" s="169"/>
      <c r="AN69" s="169"/>
      <c r="AO69" s="170"/>
      <c r="AP69" s="171"/>
      <c r="AQ69" s="172"/>
      <c r="AR69" s="244"/>
      <c r="AS69" s="185"/>
    </row>
    <row r="70" spans="1:45" x14ac:dyDescent="0.2">
      <c r="A70" s="77">
        <v>68</v>
      </c>
      <c r="B70" s="227"/>
      <c r="C70" s="9"/>
      <c r="D70" s="9"/>
      <c r="E70" s="69"/>
      <c r="F70" s="70"/>
      <c r="G70" s="158"/>
      <c r="H70" s="157"/>
      <c r="I70" s="74"/>
      <c r="J70" s="77"/>
      <c r="K70" s="8"/>
      <c r="L70" s="9"/>
      <c r="M70" s="9"/>
      <c r="N70" s="9"/>
      <c r="O70" s="45"/>
      <c r="P70" s="93"/>
      <c r="Q70" s="160"/>
      <c r="R70" s="167"/>
      <c r="S70" s="183">
        <f t="shared" si="1"/>
        <v>68</v>
      </c>
      <c r="T70" s="168" t="s">
        <v>442</v>
      </c>
      <c r="U70" s="169" t="s">
        <v>5</v>
      </c>
      <c r="V70" s="169" t="s">
        <v>37</v>
      </c>
      <c r="W70" s="170">
        <v>1</v>
      </c>
      <c r="X70" s="171">
        <v>0</v>
      </c>
      <c r="Y70" s="172">
        <v>53.409774160899204</v>
      </c>
      <c r="Z70" s="172">
        <v>52.480862887785406</v>
      </c>
      <c r="AA70" s="185"/>
      <c r="AB70" s="183">
        <v>68</v>
      </c>
      <c r="AC70" s="168"/>
      <c r="AD70" s="169"/>
      <c r="AE70" s="169"/>
      <c r="AF70" s="170"/>
      <c r="AG70" s="171"/>
      <c r="AH70" s="172"/>
      <c r="AI70" s="172"/>
      <c r="AJ70" s="185"/>
      <c r="AK70" s="183">
        <v>68</v>
      </c>
      <c r="AL70" s="168"/>
      <c r="AM70" s="169"/>
      <c r="AN70" s="169"/>
      <c r="AO70" s="170"/>
      <c r="AP70" s="171"/>
      <c r="AQ70" s="172"/>
      <c r="AR70" s="244"/>
      <c r="AS70" s="185"/>
    </row>
    <row r="71" spans="1:45" x14ac:dyDescent="0.2">
      <c r="A71" s="77">
        <v>69</v>
      </c>
      <c r="B71" s="224"/>
      <c r="C71" s="9"/>
      <c r="D71" s="9"/>
      <c r="E71" s="69"/>
      <c r="F71" s="70"/>
      <c r="G71" s="158"/>
      <c r="H71" s="157"/>
      <c r="I71" s="74"/>
      <c r="J71" s="77"/>
      <c r="K71" s="8"/>
      <c r="L71" s="9"/>
      <c r="M71" s="9"/>
      <c r="N71" s="9"/>
      <c r="O71" s="45"/>
      <c r="P71" s="93"/>
      <c r="Q71" s="160"/>
      <c r="R71" s="167"/>
      <c r="S71" s="183">
        <f t="shared" si="1"/>
        <v>69</v>
      </c>
      <c r="T71" s="168" t="s">
        <v>218</v>
      </c>
      <c r="U71" s="169" t="s">
        <v>5</v>
      </c>
      <c r="V71" s="169" t="s">
        <v>34</v>
      </c>
      <c r="W71" s="170">
        <v>4</v>
      </c>
      <c r="X71" s="171">
        <v>51.922861441089708</v>
      </c>
      <c r="Y71" s="172">
        <v>53.39810727204857</v>
      </c>
      <c r="Z71" s="172">
        <v>52.469398911318244</v>
      </c>
      <c r="AA71" s="185"/>
      <c r="AB71" s="183">
        <v>69</v>
      </c>
      <c r="AC71" s="168"/>
      <c r="AD71" s="169"/>
      <c r="AE71" s="169"/>
      <c r="AF71" s="170"/>
      <c r="AG71" s="171"/>
      <c r="AH71" s="172"/>
      <c r="AI71" s="172"/>
      <c r="AJ71" s="185"/>
      <c r="AK71" s="183">
        <v>69</v>
      </c>
      <c r="AL71" s="168"/>
      <c r="AM71" s="169"/>
      <c r="AN71" s="169"/>
      <c r="AO71" s="170"/>
      <c r="AP71" s="171"/>
      <c r="AQ71" s="172"/>
      <c r="AR71" s="244"/>
      <c r="AS71" s="185"/>
    </row>
    <row r="72" spans="1:45" x14ac:dyDescent="0.2">
      <c r="A72" s="77">
        <v>70</v>
      </c>
      <c r="B72" s="224"/>
      <c r="C72" s="9"/>
      <c r="D72" s="9"/>
      <c r="E72" s="69"/>
      <c r="F72" s="70"/>
      <c r="G72" s="158"/>
      <c r="H72" s="157"/>
      <c r="I72" s="74"/>
      <c r="J72" s="77"/>
      <c r="K72" s="8"/>
      <c r="L72" s="9"/>
      <c r="M72" s="9"/>
      <c r="N72" s="9"/>
      <c r="O72" s="45"/>
      <c r="P72" s="93"/>
      <c r="Q72" s="160"/>
      <c r="R72" s="167"/>
      <c r="S72" s="183">
        <f t="shared" si="1"/>
        <v>70</v>
      </c>
      <c r="T72" s="168" t="s">
        <v>289</v>
      </c>
      <c r="U72" s="169" t="s">
        <v>5</v>
      </c>
      <c r="V72" s="169" t="s">
        <v>39</v>
      </c>
      <c r="W72" s="170">
        <v>1</v>
      </c>
      <c r="X72" s="171">
        <v>52.076525659277756</v>
      </c>
      <c r="Y72" s="172">
        <v>53.309859895598791</v>
      </c>
      <c r="Z72" s="172">
        <v>52.382686347252424</v>
      </c>
      <c r="AA72" s="185"/>
      <c r="AB72" s="183">
        <v>70</v>
      </c>
      <c r="AC72" s="168"/>
      <c r="AD72" s="169"/>
      <c r="AE72" s="169"/>
      <c r="AF72" s="170"/>
      <c r="AG72" s="171"/>
      <c r="AH72" s="172"/>
      <c r="AI72" s="172"/>
      <c r="AJ72" s="185"/>
      <c r="AK72" s="183">
        <v>70</v>
      </c>
      <c r="AL72" s="168"/>
      <c r="AM72" s="169"/>
      <c r="AN72" s="169"/>
      <c r="AO72" s="170"/>
      <c r="AP72" s="171"/>
      <c r="AQ72" s="172"/>
      <c r="AR72" s="244"/>
      <c r="AS72" s="185"/>
    </row>
    <row r="73" spans="1:45" x14ac:dyDescent="0.2">
      <c r="A73" s="77">
        <v>71</v>
      </c>
      <c r="B73" s="224"/>
      <c r="C73" s="9"/>
      <c r="D73" s="9"/>
      <c r="E73" s="69"/>
      <c r="F73" s="70"/>
      <c r="G73" s="158"/>
      <c r="H73" s="157"/>
      <c r="I73" s="74"/>
      <c r="J73" s="77"/>
      <c r="K73" s="8"/>
      <c r="L73" s="9"/>
      <c r="M73" s="9"/>
      <c r="N73" s="9"/>
      <c r="O73" s="45"/>
      <c r="P73" s="93"/>
      <c r="Q73" s="160"/>
      <c r="R73" s="167"/>
      <c r="S73" s="183">
        <f t="shared" si="1"/>
        <v>71</v>
      </c>
      <c r="T73" s="168" t="s">
        <v>287</v>
      </c>
      <c r="U73" s="169" t="s">
        <v>5</v>
      </c>
      <c r="V73" s="169" t="s">
        <v>33</v>
      </c>
      <c r="W73" s="170">
        <v>2</v>
      </c>
      <c r="X73" s="171">
        <v>52.592151089318357</v>
      </c>
      <c r="Y73" s="172">
        <v>53.099243409201037</v>
      </c>
      <c r="Z73" s="172">
        <v>52.175732936229771</v>
      </c>
      <c r="AA73" s="185"/>
      <c r="AB73" s="183">
        <v>71</v>
      </c>
      <c r="AC73" s="168"/>
      <c r="AD73" s="169"/>
      <c r="AE73" s="169"/>
      <c r="AF73" s="170"/>
      <c r="AG73" s="171"/>
      <c r="AH73" s="172"/>
      <c r="AI73" s="172"/>
      <c r="AJ73" s="185"/>
      <c r="AK73" s="183">
        <v>71</v>
      </c>
      <c r="AL73" s="168"/>
      <c r="AM73" s="169"/>
      <c r="AN73" s="169"/>
      <c r="AO73" s="170"/>
      <c r="AP73" s="171"/>
      <c r="AQ73" s="172"/>
      <c r="AR73" s="244"/>
      <c r="AS73" s="185"/>
    </row>
    <row r="74" spans="1:45" x14ac:dyDescent="0.2">
      <c r="A74" s="77">
        <v>72</v>
      </c>
      <c r="B74" s="225"/>
      <c r="C74" s="9"/>
      <c r="D74" s="9"/>
      <c r="E74" s="69"/>
      <c r="F74" s="70"/>
      <c r="G74" s="158"/>
      <c r="H74" s="157"/>
      <c r="I74" s="74"/>
      <c r="J74" s="77"/>
      <c r="K74" s="8"/>
      <c r="L74" s="9"/>
      <c r="M74" s="9"/>
      <c r="N74" s="9"/>
      <c r="O74" s="45"/>
      <c r="P74" s="93"/>
      <c r="Q74" s="160"/>
      <c r="R74" s="167"/>
      <c r="S74" s="183">
        <f t="shared" si="1"/>
        <v>72</v>
      </c>
      <c r="T74" s="168" t="s">
        <v>276</v>
      </c>
      <c r="U74" s="169" t="s">
        <v>5</v>
      </c>
      <c r="V74" s="169" t="s">
        <v>35</v>
      </c>
      <c r="W74" s="170">
        <v>4</v>
      </c>
      <c r="X74" s="171">
        <v>48.209769937096013</v>
      </c>
      <c r="Y74" s="172">
        <v>52.905645506434738</v>
      </c>
      <c r="Z74" s="172">
        <v>51.985502118929688</v>
      </c>
      <c r="AA74" s="185"/>
      <c r="AB74" s="183">
        <v>72</v>
      </c>
      <c r="AC74" s="168"/>
      <c r="AD74" s="169"/>
      <c r="AE74" s="169"/>
      <c r="AF74" s="170"/>
      <c r="AG74" s="171"/>
      <c r="AH74" s="172"/>
      <c r="AI74" s="172"/>
      <c r="AJ74" s="185"/>
      <c r="AK74" s="183">
        <v>72</v>
      </c>
      <c r="AL74" s="168"/>
      <c r="AM74" s="169"/>
      <c r="AN74" s="169"/>
      <c r="AO74" s="170"/>
      <c r="AP74" s="171"/>
      <c r="AQ74" s="172"/>
      <c r="AR74" s="244"/>
      <c r="AS74" s="185"/>
    </row>
    <row r="75" spans="1:45" x14ac:dyDescent="0.2">
      <c r="A75" s="77">
        <v>73</v>
      </c>
      <c r="B75" s="224"/>
      <c r="C75" s="9"/>
      <c r="D75" s="9"/>
      <c r="E75" s="69"/>
      <c r="F75" s="70"/>
      <c r="G75" s="158"/>
      <c r="H75" s="160"/>
      <c r="I75" s="74"/>
      <c r="J75" s="78"/>
      <c r="K75" s="75"/>
      <c r="L75" s="12"/>
      <c r="M75" s="12"/>
      <c r="N75" s="12"/>
      <c r="O75" s="49"/>
      <c r="P75" s="151"/>
      <c r="Q75" s="160"/>
      <c r="R75" s="167"/>
      <c r="S75" s="183">
        <f t="shared" si="1"/>
        <v>73</v>
      </c>
      <c r="T75" s="168" t="s">
        <v>229</v>
      </c>
      <c r="U75" s="169" t="s">
        <v>5</v>
      </c>
      <c r="V75" s="169" t="s">
        <v>42</v>
      </c>
      <c r="W75" s="170">
        <v>2</v>
      </c>
      <c r="X75" s="171">
        <v>48.407706236395555</v>
      </c>
      <c r="Y75" s="172">
        <v>52.830770358721466</v>
      </c>
      <c r="Z75" s="172">
        <v>51.911929211674824</v>
      </c>
      <c r="AA75" s="185"/>
      <c r="AB75" s="183">
        <v>73</v>
      </c>
      <c r="AC75" s="168"/>
      <c r="AD75" s="169"/>
      <c r="AE75" s="169"/>
      <c r="AF75" s="170"/>
      <c r="AG75" s="171"/>
      <c r="AH75" s="172"/>
      <c r="AI75" s="172"/>
      <c r="AJ75" s="185"/>
      <c r="AK75" s="183">
        <v>73</v>
      </c>
      <c r="AL75" s="168"/>
      <c r="AM75" s="169"/>
      <c r="AN75" s="169"/>
      <c r="AO75" s="170"/>
      <c r="AP75" s="171"/>
      <c r="AQ75" s="172"/>
      <c r="AR75" s="244"/>
      <c r="AS75" s="185"/>
    </row>
    <row r="76" spans="1:45" x14ac:dyDescent="0.2">
      <c r="A76" s="77">
        <v>74</v>
      </c>
      <c r="B76" s="224"/>
      <c r="C76" s="9"/>
      <c r="D76" s="9"/>
      <c r="E76" s="69"/>
      <c r="F76" s="45"/>
      <c r="G76" s="93"/>
      <c r="H76" s="160"/>
      <c r="I76" s="74"/>
      <c r="J76" s="76"/>
      <c r="K76" s="218"/>
      <c r="L76" s="80"/>
      <c r="M76" s="80"/>
      <c r="N76" s="80"/>
      <c r="O76" s="44"/>
      <c r="P76" s="117"/>
      <c r="Q76" s="160"/>
      <c r="R76" s="167"/>
      <c r="S76" s="183">
        <f t="shared" si="1"/>
        <v>74</v>
      </c>
      <c r="T76" s="168" t="s">
        <v>439</v>
      </c>
      <c r="U76" s="169" t="s">
        <v>5</v>
      </c>
      <c r="V76" s="169" t="s">
        <v>37</v>
      </c>
      <c r="W76" s="170">
        <v>2</v>
      </c>
      <c r="X76" s="171">
        <v>0</v>
      </c>
      <c r="Y76" s="172">
        <v>52.751274545530023</v>
      </c>
      <c r="Z76" s="172">
        <v>51.833816002289502</v>
      </c>
      <c r="AA76" s="185"/>
      <c r="AB76" s="183">
        <v>74</v>
      </c>
      <c r="AC76" s="168"/>
      <c r="AD76" s="169"/>
      <c r="AE76" s="169"/>
      <c r="AF76" s="170"/>
      <c r="AG76" s="171"/>
      <c r="AH76" s="172"/>
      <c r="AI76" s="172"/>
      <c r="AJ76" s="185"/>
      <c r="AK76" s="183">
        <v>74</v>
      </c>
      <c r="AL76" s="168"/>
      <c r="AM76" s="169"/>
      <c r="AN76" s="169"/>
      <c r="AO76" s="170"/>
      <c r="AP76" s="171"/>
      <c r="AQ76" s="172"/>
      <c r="AR76" s="244"/>
      <c r="AS76" s="185"/>
    </row>
    <row r="77" spans="1:45" x14ac:dyDescent="0.2">
      <c r="A77" s="77">
        <v>75</v>
      </c>
      <c r="B77" s="224"/>
      <c r="C77" s="9"/>
      <c r="D77" s="9"/>
      <c r="E77" s="69"/>
      <c r="F77" s="70"/>
      <c r="G77" s="158"/>
      <c r="H77" s="160"/>
      <c r="I77" s="74"/>
      <c r="J77" s="77"/>
      <c r="K77" s="8"/>
      <c r="L77" s="9"/>
      <c r="M77" s="9"/>
      <c r="N77" s="9"/>
      <c r="O77" s="45"/>
      <c r="P77" s="93"/>
      <c r="Q77" s="160"/>
      <c r="R77" s="167"/>
      <c r="S77" s="183">
        <f t="shared" si="1"/>
        <v>75</v>
      </c>
      <c r="T77" s="168" t="s">
        <v>302</v>
      </c>
      <c r="U77" s="169" t="s">
        <v>5</v>
      </c>
      <c r="V77" s="169" t="s">
        <v>42</v>
      </c>
      <c r="W77" s="170">
        <v>2</v>
      </c>
      <c r="X77" s="171">
        <v>36.252351526514943</v>
      </c>
      <c r="Y77" s="172">
        <v>51.100788085215399</v>
      </c>
      <c r="Z77" s="172">
        <v>50.212035064572468</v>
      </c>
      <c r="AA77" s="185"/>
      <c r="AB77" s="183">
        <v>75</v>
      </c>
      <c r="AC77" s="168"/>
      <c r="AD77" s="169"/>
      <c r="AE77" s="169"/>
      <c r="AF77" s="170"/>
      <c r="AG77" s="171"/>
      <c r="AH77" s="172"/>
      <c r="AI77" s="172"/>
      <c r="AJ77" s="185"/>
      <c r="AK77" s="183">
        <v>75</v>
      </c>
      <c r="AL77" s="168"/>
      <c r="AM77" s="169"/>
      <c r="AN77" s="169"/>
      <c r="AO77" s="170"/>
      <c r="AP77" s="171"/>
      <c r="AQ77" s="172"/>
      <c r="AR77" s="244"/>
      <c r="AS77" s="185"/>
    </row>
    <row r="78" spans="1:45" x14ac:dyDescent="0.2">
      <c r="A78" s="77">
        <v>76</v>
      </c>
      <c r="B78" s="224"/>
      <c r="C78" s="9"/>
      <c r="D78" s="9"/>
      <c r="E78" s="69"/>
      <c r="F78" s="45"/>
      <c r="G78" s="93"/>
      <c r="H78" s="160"/>
      <c r="I78" s="74"/>
      <c r="J78" s="77"/>
      <c r="K78" s="8"/>
      <c r="L78" s="9"/>
      <c r="M78" s="9"/>
      <c r="N78" s="9"/>
      <c r="O78" s="45"/>
      <c r="P78" s="93"/>
      <c r="Q78" s="160"/>
      <c r="R78" s="167"/>
      <c r="S78" s="183">
        <f t="shared" si="1"/>
        <v>76</v>
      </c>
      <c r="T78" s="168" t="s">
        <v>440</v>
      </c>
      <c r="U78" s="169" t="s">
        <v>5</v>
      </c>
      <c r="V78" s="169" t="s">
        <v>37</v>
      </c>
      <c r="W78" s="170">
        <v>3</v>
      </c>
      <c r="X78" s="171">
        <v>0</v>
      </c>
      <c r="Y78" s="172">
        <v>50.44694304836981</v>
      </c>
      <c r="Z78" s="172">
        <v>49.56956180443138</v>
      </c>
      <c r="AA78" s="185"/>
      <c r="AB78" s="183">
        <v>76</v>
      </c>
      <c r="AC78" s="168"/>
      <c r="AD78" s="169"/>
      <c r="AE78" s="169"/>
      <c r="AF78" s="170"/>
      <c r="AG78" s="171"/>
      <c r="AH78" s="172"/>
      <c r="AI78" s="172"/>
      <c r="AJ78" s="185"/>
      <c r="AK78" s="183">
        <v>76</v>
      </c>
      <c r="AL78" s="168"/>
      <c r="AM78" s="169"/>
      <c r="AN78" s="169"/>
      <c r="AO78" s="170"/>
      <c r="AP78" s="171"/>
      <c r="AQ78" s="172"/>
      <c r="AR78" s="244"/>
      <c r="AS78" s="185"/>
    </row>
    <row r="79" spans="1:45" x14ac:dyDescent="0.2">
      <c r="A79" s="77">
        <v>77</v>
      </c>
      <c r="B79" s="227"/>
      <c r="C79" s="9"/>
      <c r="D79" s="9"/>
      <c r="E79" s="69"/>
      <c r="F79" s="70"/>
      <c r="G79" s="158"/>
      <c r="H79" s="160"/>
      <c r="I79" s="74"/>
      <c r="J79" s="77"/>
      <c r="K79" s="8"/>
      <c r="L79" s="9"/>
      <c r="M79" s="9"/>
      <c r="N79" s="9"/>
      <c r="O79" s="45"/>
      <c r="P79" s="93"/>
      <c r="Q79" s="160"/>
      <c r="R79" s="167"/>
      <c r="S79" s="183">
        <f t="shared" si="1"/>
        <v>77</v>
      </c>
      <c r="T79" s="168" t="s">
        <v>65</v>
      </c>
      <c r="U79" s="169" t="s">
        <v>5</v>
      </c>
      <c r="V79" s="169" t="s">
        <v>36</v>
      </c>
      <c r="W79" s="170">
        <v>5</v>
      </c>
      <c r="X79" s="171">
        <v>50.514713516710543</v>
      </c>
      <c r="Y79" s="172">
        <v>50.146828844921274</v>
      </c>
      <c r="Z79" s="172">
        <v>49.274667234864182</v>
      </c>
      <c r="AA79" s="185"/>
      <c r="AB79" s="183">
        <v>77</v>
      </c>
      <c r="AC79" s="168"/>
      <c r="AD79" s="169"/>
      <c r="AE79" s="169"/>
      <c r="AF79" s="170"/>
      <c r="AG79" s="171"/>
      <c r="AH79" s="172"/>
      <c r="AI79" s="172"/>
      <c r="AJ79" s="185"/>
      <c r="AK79" s="183">
        <v>77</v>
      </c>
      <c r="AL79" s="168"/>
      <c r="AM79" s="169"/>
      <c r="AN79" s="169"/>
      <c r="AO79" s="170"/>
      <c r="AP79" s="171"/>
      <c r="AQ79" s="172"/>
      <c r="AR79" s="244"/>
      <c r="AS79" s="185"/>
    </row>
    <row r="80" spans="1:45" x14ac:dyDescent="0.2">
      <c r="A80" s="77">
        <v>78</v>
      </c>
      <c r="B80" s="224"/>
      <c r="C80" s="9"/>
      <c r="D80" s="9"/>
      <c r="E80" s="69"/>
      <c r="F80" s="70"/>
      <c r="G80" s="158"/>
      <c r="H80" s="160"/>
      <c r="I80" s="74"/>
      <c r="J80" s="77"/>
      <c r="K80" s="8"/>
      <c r="L80" s="9"/>
      <c r="M80" s="9"/>
      <c r="N80" s="9"/>
      <c r="O80" s="45"/>
      <c r="P80" s="93"/>
      <c r="Q80" s="160"/>
      <c r="R80" s="167"/>
      <c r="S80" s="183">
        <f t="shared" si="1"/>
        <v>78</v>
      </c>
      <c r="T80" s="168" t="s">
        <v>66</v>
      </c>
      <c r="U80" s="169" t="s">
        <v>5</v>
      </c>
      <c r="V80" s="169" t="s">
        <v>36</v>
      </c>
      <c r="W80" s="170">
        <v>5</v>
      </c>
      <c r="X80" s="171">
        <v>49.486533417014016</v>
      </c>
      <c r="Y80" s="172">
        <v>50.071588627540528</v>
      </c>
      <c r="Z80" s="172">
        <v>49.200735607291477</v>
      </c>
      <c r="AA80" s="185"/>
      <c r="AB80" s="183">
        <v>78</v>
      </c>
      <c r="AC80" s="168"/>
      <c r="AD80" s="169"/>
      <c r="AE80" s="169"/>
      <c r="AF80" s="170"/>
      <c r="AG80" s="171"/>
      <c r="AH80" s="172"/>
      <c r="AI80" s="172"/>
      <c r="AJ80" s="185"/>
      <c r="AK80" s="183">
        <v>78</v>
      </c>
      <c r="AL80" s="168"/>
      <c r="AM80" s="169"/>
      <c r="AN80" s="169"/>
      <c r="AO80" s="170"/>
      <c r="AP80" s="171"/>
      <c r="AQ80" s="172"/>
      <c r="AR80" s="244"/>
      <c r="AS80" s="185"/>
    </row>
    <row r="81" spans="1:45" ht="13.5" thickBot="1" x14ac:dyDescent="0.25">
      <c r="A81" s="77">
        <v>79</v>
      </c>
      <c r="B81" s="224"/>
      <c r="C81" s="9"/>
      <c r="D81" s="9"/>
      <c r="E81" s="69"/>
      <c r="F81" s="45"/>
      <c r="G81" s="93"/>
      <c r="H81" s="160"/>
      <c r="I81" s="74"/>
      <c r="J81" s="77"/>
      <c r="K81" s="8"/>
      <c r="L81" s="9"/>
      <c r="M81" s="9"/>
      <c r="N81" s="9"/>
      <c r="O81" s="45"/>
      <c r="P81" s="93"/>
      <c r="Q81" s="160"/>
      <c r="R81" s="167"/>
      <c r="S81" s="183">
        <f t="shared" si="1"/>
        <v>79</v>
      </c>
      <c r="T81" s="168" t="s">
        <v>378</v>
      </c>
      <c r="U81" s="169" t="s">
        <v>5</v>
      </c>
      <c r="V81" s="169" t="s">
        <v>48</v>
      </c>
      <c r="W81" s="170">
        <v>2</v>
      </c>
      <c r="X81" s="171">
        <v>0</v>
      </c>
      <c r="Y81" s="172">
        <v>49.724516873519804</v>
      </c>
      <c r="Z81" s="172">
        <v>48.859700180328005</v>
      </c>
      <c r="AA81" s="185"/>
      <c r="AB81" s="183">
        <v>79</v>
      </c>
      <c r="AC81" s="168"/>
      <c r="AD81" s="169"/>
      <c r="AE81" s="169"/>
      <c r="AF81" s="170"/>
      <c r="AG81" s="171"/>
      <c r="AH81" s="172"/>
      <c r="AI81" s="172"/>
      <c r="AJ81" s="185"/>
      <c r="AK81" s="184">
        <v>79</v>
      </c>
      <c r="AL81" s="173"/>
      <c r="AM81" s="174"/>
      <c r="AN81" s="174"/>
      <c r="AO81" s="175"/>
      <c r="AP81" s="176"/>
      <c r="AQ81" s="177"/>
      <c r="AR81" s="292"/>
      <c r="AS81" s="185"/>
    </row>
    <row r="82" spans="1:45" x14ac:dyDescent="0.2">
      <c r="A82" s="77">
        <v>80</v>
      </c>
      <c r="B82" s="225"/>
      <c r="C82" s="9"/>
      <c r="D82" s="9"/>
      <c r="E82" s="69"/>
      <c r="F82" s="70"/>
      <c r="G82" s="158"/>
      <c r="H82" s="160"/>
      <c r="I82" s="74"/>
      <c r="J82" s="77"/>
      <c r="K82" s="8"/>
      <c r="L82" s="9"/>
      <c r="M82" s="9"/>
      <c r="N82" s="9"/>
      <c r="O82" s="45"/>
      <c r="P82" s="93"/>
      <c r="Q82" s="160"/>
      <c r="R82" s="167"/>
      <c r="S82" s="183">
        <f t="shared" si="1"/>
        <v>80</v>
      </c>
      <c r="T82" s="168" t="s">
        <v>485</v>
      </c>
      <c r="U82" s="169" t="s">
        <v>5</v>
      </c>
      <c r="V82" s="169" t="s">
        <v>293</v>
      </c>
      <c r="W82" s="170">
        <v>4</v>
      </c>
      <c r="X82" s="171">
        <v>0</v>
      </c>
      <c r="Y82" s="172">
        <v>49.214516441189446</v>
      </c>
      <c r="Z82" s="172">
        <v>48.358569756499406</v>
      </c>
      <c r="AA82" s="185"/>
      <c r="AB82" s="183">
        <v>80</v>
      </c>
      <c r="AC82" s="168"/>
      <c r="AD82" s="169"/>
      <c r="AE82" s="169"/>
      <c r="AF82" s="170"/>
      <c r="AG82" s="171"/>
      <c r="AH82" s="172"/>
      <c r="AI82" s="172"/>
      <c r="AJ82" s="185"/>
      <c r="AK82" s="237"/>
      <c r="AL82" s="238"/>
      <c r="AM82" s="239"/>
      <c r="AN82" s="239"/>
      <c r="AO82" s="240"/>
      <c r="AP82" s="241"/>
      <c r="AQ82" s="242"/>
      <c r="AR82" s="242"/>
      <c r="AS82" s="185"/>
    </row>
    <row r="83" spans="1:45" x14ac:dyDescent="0.2">
      <c r="A83" s="77">
        <v>81</v>
      </c>
      <c r="B83" s="224"/>
      <c r="C83" s="9"/>
      <c r="D83" s="9"/>
      <c r="E83" s="69"/>
      <c r="F83" s="70"/>
      <c r="G83" s="158"/>
      <c r="H83" s="160"/>
      <c r="I83" s="74"/>
      <c r="J83" s="77"/>
      <c r="K83" s="8"/>
      <c r="L83" s="9"/>
      <c r="M83" s="9"/>
      <c r="N83" s="9"/>
      <c r="O83" s="45"/>
      <c r="P83" s="93"/>
      <c r="Q83" s="160"/>
      <c r="R83" s="167"/>
      <c r="S83" s="183">
        <f t="shared" si="1"/>
        <v>81</v>
      </c>
      <c r="T83" s="168" t="s">
        <v>412</v>
      </c>
      <c r="U83" s="169" t="s">
        <v>5</v>
      </c>
      <c r="V83" s="169" t="s">
        <v>41</v>
      </c>
      <c r="W83" s="170">
        <v>2</v>
      </c>
      <c r="X83" s="171">
        <v>32.160016027976141</v>
      </c>
      <c r="Y83" s="172">
        <v>48.497673329964073</v>
      </c>
      <c r="Z83" s="172">
        <v>47.654194094491572</v>
      </c>
      <c r="AA83" s="185"/>
      <c r="AB83" s="183">
        <v>81</v>
      </c>
      <c r="AC83" s="168"/>
      <c r="AD83" s="169"/>
      <c r="AE83" s="169"/>
      <c r="AF83" s="170"/>
      <c r="AG83" s="171"/>
      <c r="AH83" s="172"/>
      <c r="AI83" s="172"/>
      <c r="AJ83" s="185"/>
      <c r="AK83" s="183"/>
      <c r="AL83" s="168"/>
      <c r="AM83" s="169"/>
      <c r="AN83" s="169"/>
      <c r="AO83" s="170"/>
      <c r="AP83" s="171"/>
      <c r="AQ83" s="172"/>
      <c r="AR83" s="172"/>
      <c r="AS83" s="185"/>
    </row>
    <row r="84" spans="1:45" x14ac:dyDescent="0.2">
      <c r="A84" s="77">
        <v>82</v>
      </c>
      <c r="B84" s="225"/>
      <c r="C84" s="9"/>
      <c r="D84" s="9"/>
      <c r="E84" s="69"/>
      <c r="F84" s="70"/>
      <c r="G84" s="158"/>
      <c r="H84" s="160"/>
      <c r="I84" s="74"/>
      <c r="J84" s="77"/>
      <c r="K84" s="8"/>
      <c r="L84" s="9"/>
      <c r="M84" s="9"/>
      <c r="N84" s="9"/>
      <c r="O84" s="45"/>
      <c r="P84" s="93"/>
      <c r="Q84" s="160"/>
      <c r="R84" s="167"/>
      <c r="S84" s="183">
        <f t="shared" si="1"/>
        <v>82</v>
      </c>
      <c r="T84" s="168" t="s">
        <v>263</v>
      </c>
      <c r="U84" s="169" t="s">
        <v>5</v>
      </c>
      <c r="V84" s="169" t="s">
        <v>60</v>
      </c>
      <c r="W84" s="170">
        <v>2</v>
      </c>
      <c r="X84" s="171">
        <v>40.612356461444939</v>
      </c>
      <c r="Y84" s="172">
        <v>48.274796462559067</v>
      </c>
      <c r="Z84" s="172">
        <v>47.435193536954969</v>
      </c>
      <c r="AA84" s="185"/>
      <c r="AB84" s="183"/>
      <c r="AC84" s="168"/>
      <c r="AD84" s="169"/>
      <c r="AE84" s="169"/>
      <c r="AF84" s="170"/>
      <c r="AG84" s="171"/>
      <c r="AH84" s="172"/>
      <c r="AI84" s="172"/>
      <c r="AJ84" s="185"/>
    </row>
    <row r="85" spans="1:45" x14ac:dyDescent="0.2">
      <c r="A85" s="77">
        <v>83</v>
      </c>
      <c r="B85" s="224"/>
      <c r="C85" s="9"/>
      <c r="D85" s="9"/>
      <c r="E85" s="69"/>
      <c r="F85" s="45"/>
      <c r="G85" s="93"/>
      <c r="H85" s="160"/>
      <c r="I85" s="74"/>
      <c r="J85" s="77"/>
      <c r="K85" s="8"/>
      <c r="L85" s="9"/>
      <c r="M85" s="9"/>
      <c r="N85" s="9"/>
      <c r="O85" s="45"/>
      <c r="P85" s="93"/>
      <c r="Q85" s="160"/>
      <c r="R85" s="167"/>
      <c r="S85" s="183">
        <f t="shared" si="1"/>
        <v>83</v>
      </c>
      <c r="T85" s="168" t="s">
        <v>325</v>
      </c>
      <c r="U85" s="169" t="s">
        <v>5</v>
      </c>
      <c r="V85" s="169" t="s">
        <v>48</v>
      </c>
      <c r="W85" s="170">
        <v>1</v>
      </c>
      <c r="X85" s="171">
        <v>0</v>
      </c>
      <c r="Y85" s="172">
        <v>47.729201466071899</v>
      </c>
      <c r="Z85" s="172">
        <v>46.899087615281424</v>
      </c>
      <c r="AA85" s="185"/>
      <c r="AB85" s="183"/>
      <c r="AC85" s="168"/>
      <c r="AD85" s="169"/>
      <c r="AE85" s="169"/>
      <c r="AF85" s="170"/>
      <c r="AG85" s="171"/>
      <c r="AH85" s="172"/>
      <c r="AI85" s="172"/>
      <c r="AJ85" s="185"/>
    </row>
    <row r="86" spans="1:45" x14ac:dyDescent="0.2">
      <c r="A86" s="77">
        <v>84</v>
      </c>
      <c r="B86" s="224"/>
      <c r="C86" s="9"/>
      <c r="D86" s="9"/>
      <c r="E86" s="69"/>
      <c r="F86" s="70"/>
      <c r="G86" s="158"/>
      <c r="H86" s="160"/>
      <c r="I86" s="74"/>
      <c r="J86" s="77"/>
      <c r="K86" s="8"/>
      <c r="L86" s="9"/>
      <c r="M86" s="9"/>
      <c r="N86" s="9"/>
      <c r="O86" s="45"/>
      <c r="P86" s="93"/>
      <c r="Q86" s="160"/>
      <c r="R86" s="167"/>
      <c r="S86" s="183">
        <f t="shared" si="1"/>
        <v>84</v>
      </c>
      <c r="T86" s="168" t="s">
        <v>434</v>
      </c>
      <c r="U86" s="169" t="s">
        <v>5</v>
      </c>
      <c r="V86" s="169" t="s">
        <v>37</v>
      </c>
      <c r="W86" s="170">
        <v>2</v>
      </c>
      <c r="X86" s="171">
        <v>0</v>
      </c>
      <c r="Y86" s="172">
        <v>47.549567179289127</v>
      </c>
      <c r="Z86" s="172">
        <v>46.722577556538397</v>
      </c>
      <c r="AA86" s="185"/>
      <c r="AD86" s="68"/>
      <c r="AE86" s="63"/>
      <c r="AF86" s="68"/>
    </row>
    <row r="87" spans="1:45" x14ac:dyDescent="0.2">
      <c r="A87" s="77">
        <v>85</v>
      </c>
      <c r="B87" s="224"/>
      <c r="C87" s="9"/>
      <c r="D87" s="9"/>
      <c r="E87" s="69"/>
      <c r="F87" s="45"/>
      <c r="G87" s="93"/>
      <c r="H87" s="160"/>
      <c r="I87" s="74"/>
      <c r="J87" s="77"/>
      <c r="K87" s="8"/>
      <c r="L87" s="9"/>
      <c r="M87" s="9"/>
      <c r="N87" s="9"/>
      <c r="O87" s="45"/>
      <c r="P87" s="93"/>
      <c r="Q87" s="160"/>
      <c r="R87" s="167"/>
      <c r="S87" s="183">
        <f t="shared" si="1"/>
        <v>85</v>
      </c>
      <c r="T87" s="168" t="s">
        <v>466</v>
      </c>
      <c r="U87" s="169" t="s">
        <v>5</v>
      </c>
      <c r="V87" s="169" t="s">
        <v>42</v>
      </c>
      <c r="W87" s="169">
        <v>2</v>
      </c>
      <c r="X87" s="171">
        <v>0</v>
      </c>
      <c r="Y87" s="171">
        <v>46.847133015705012</v>
      </c>
      <c r="Z87" s="172">
        <v>46.032360239466456</v>
      </c>
      <c r="AA87" s="185"/>
      <c r="AD87" s="68"/>
      <c r="AE87" s="63"/>
      <c r="AF87" s="68"/>
    </row>
    <row r="88" spans="1:45" x14ac:dyDescent="0.2">
      <c r="A88" s="77">
        <v>86</v>
      </c>
      <c r="B88" s="224"/>
      <c r="C88" s="9"/>
      <c r="D88" s="9"/>
      <c r="E88" s="69"/>
      <c r="F88" s="70"/>
      <c r="G88" s="158"/>
      <c r="H88" s="160"/>
      <c r="I88" s="74"/>
      <c r="J88" s="77"/>
      <c r="K88" s="8"/>
      <c r="L88" s="9"/>
      <c r="M88" s="9"/>
      <c r="N88" s="9"/>
      <c r="O88" s="45"/>
      <c r="P88" s="93"/>
      <c r="Q88" s="160"/>
      <c r="R88" s="167"/>
      <c r="S88" s="183">
        <f t="shared" si="1"/>
        <v>86</v>
      </c>
      <c r="T88" s="168" t="s">
        <v>467</v>
      </c>
      <c r="U88" s="169" t="s">
        <v>5</v>
      </c>
      <c r="V88" s="169" t="s">
        <v>43</v>
      </c>
      <c r="W88" s="170">
        <v>2</v>
      </c>
      <c r="X88" s="171">
        <v>0</v>
      </c>
      <c r="Y88" s="172">
        <v>46.520893509806214</v>
      </c>
      <c r="Z88" s="172">
        <v>45.711794742857634</v>
      </c>
      <c r="AA88" s="185"/>
      <c r="AD88" s="68"/>
      <c r="AE88" s="63"/>
      <c r="AF88" s="68"/>
    </row>
    <row r="89" spans="1:45" x14ac:dyDescent="0.2">
      <c r="A89" s="77">
        <v>87</v>
      </c>
      <c r="B89" s="224"/>
      <c r="C89" s="9"/>
      <c r="D89" s="9"/>
      <c r="E89" s="69"/>
      <c r="F89" s="70"/>
      <c r="G89" s="158"/>
      <c r="H89" s="160"/>
      <c r="I89" s="74"/>
      <c r="J89" s="77"/>
      <c r="K89" s="8"/>
      <c r="L89" s="9"/>
      <c r="M89" s="9"/>
      <c r="N89" s="9"/>
      <c r="O89" s="45"/>
      <c r="P89" s="93"/>
      <c r="Q89" s="160"/>
      <c r="R89" s="167"/>
      <c r="S89" s="183">
        <f t="shared" si="1"/>
        <v>87</v>
      </c>
      <c r="T89" s="168" t="s">
        <v>409</v>
      </c>
      <c r="U89" s="169" t="s">
        <v>5</v>
      </c>
      <c r="V89" s="169" t="s">
        <v>32</v>
      </c>
      <c r="W89" s="170">
        <v>2</v>
      </c>
      <c r="X89" s="171">
        <v>0</v>
      </c>
      <c r="Y89" s="172">
        <v>46.257690641663913</v>
      </c>
      <c r="Z89" s="172">
        <v>45.453169540791897</v>
      </c>
      <c r="AA89" s="185"/>
      <c r="AD89" s="68"/>
      <c r="AE89" s="63"/>
      <c r="AF89" s="68"/>
    </row>
    <row r="90" spans="1:45" x14ac:dyDescent="0.2">
      <c r="A90" s="77">
        <v>88</v>
      </c>
      <c r="B90" s="224"/>
      <c r="C90" s="9"/>
      <c r="D90" s="9"/>
      <c r="E90" s="69"/>
      <c r="F90" s="45"/>
      <c r="G90" s="93"/>
      <c r="H90" s="160"/>
      <c r="I90" s="74"/>
      <c r="J90" s="77"/>
      <c r="K90" s="8"/>
      <c r="L90" s="9"/>
      <c r="M90" s="9"/>
      <c r="N90" s="9"/>
      <c r="O90" s="45"/>
      <c r="P90" s="93"/>
      <c r="Q90" s="160"/>
      <c r="R90" s="167"/>
      <c r="S90" s="183">
        <f t="shared" si="1"/>
        <v>88</v>
      </c>
      <c r="T90" s="168" t="s">
        <v>369</v>
      </c>
      <c r="U90" s="169" t="s">
        <v>6</v>
      </c>
      <c r="V90" s="169" t="s">
        <v>30</v>
      </c>
      <c r="W90" s="169">
        <v>2</v>
      </c>
      <c r="X90" s="171">
        <v>0</v>
      </c>
      <c r="Y90" s="171">
        <v>46.255098940905611</v>
      </c>
      <c r="Z90" s="172">
        <v>45.45062291530472</v>
      </c>
      <c r="AA90" s="185"/>
      <c r="AD90" s="68"/>
      <c r="AE90" s="63"/>
      <c r="AF90" s="68"/>
    </row>
    <row r="91" spans="1:45" x14ac:dyDescent="0.2">
      <c r="A91" s="77">
        <v>89</v>
      </c>
      <c r="B91" s="224"/>
      <c r="C91" s="9"/>
      <c r="D91" s="9"/>
      <c r="E91" s="69"/>
      <c r="F91" s="45"/>
      <c r="G91" s="93"/>
      <c r="H91" s="160"/>
      <c r="I91" s="74"/>
      <c r="J91" s="77"/>
      <c r="K91" s="8"/>
      <c r="L91" s="9"/>
      <c r="M91" s="9"/>
      <c r="N91" s="9"/>
      <c r="O91" s="45"/>
      <c r="P91" s="93"/>
      <c r="Q91" s="160"/>
      <c r="R91" s="167"/>
      <c r="S91" s="183">
        <f t="shared" si="1"/>
        <v>89</v>
      </c>
      <c r="T91" s="168" t="s">
        <v>460</v>
      </c>
      <c r="U91" s="169" t="s">
        <v>5</v>
      </c>
      <c r="V91" s="169" t="s">
        <v>51</v>
      </c>
      <c r="W91" s="170">
        <v>1</v>
      </c>
      <c r="X91" s="171">
        <v>0</v>
      </c>
      <c r="Y91" s="172">
        <v>46.040483455253636</v>
      </c>
      <c r="Z91" s="172">
        <v>45.239740056257872</v>
      </c>
      <c r="AA91" s="185"/>
      <c r="AD91" s="68"/>
      <c r="AE91" s="63"/>
      <c r="AF91" s="68"/>
    </row>
    <row r="92" spans="1:45" x14ac:dyDescent="0.2">
      <c r="A92" s="77">
        <v>90</v>
      </c>
      <c r="B92" s="224"/>
      <c r="C92" s="9"/>
      <c r="D92" s="9"/>
      <c r="E92" s="69"/>
      <c r="F92" s="45"/>
      <c r="G92" s="93"/>
      <c r="H92" s="157"/>
      <c r="I92" s="74"/>
      <c r="J92" s="77"/>
      <c r="K92" s="8"/>
      <c r="L92" s="9"/>
      <c r="M92" s="9"/>
      <c r="N92" s="9"/>
      <c r="O92" s="45"/>
      <c r="P92" s="93"/>
      <c r="Q92" s="160"/>
      <c r="R92" s="167"/>
      <c r="S92" s="183">
        <f t="shared" si="1"/>
        <v>90</v>
      </c>
      <c r="T92" s="168" t="s">
        <v>402</v>
      </c>
      <c r="U92" s="169" t="s">
        <v>5</v>
      </c>
      <c r="V92" s="169" t="s">
        <v>422</v>
      </c>
      <c r="W92" s="170">
        <v>2</v>
      </c>
      <c r="X92" s="171">
        <v>0</v>
      </c>
      <c r="Y92" s="172">
        <v>45.771020393189943</v>
      </c>
      <c r="Z92" s="172">
        <v>44.974963538557482</v>
      </c>
      <c r="AA92" s="185"/>
      <c r="AD92" s="68"/>
      <c r="AE92" s="63"/>
      <c r="AF92" s="68"/>
    </row>
    <row r="93" spans="1:45" x14ac:dyDescent="0.2">
      <c r="A93" s="77">
        <v>91</v>
      </c>
      <c r="B93" s="225"/>
      <c r="C93" s="9"/>
      <c r="D93" s="9"/>
      <c r="E93" s="69"/>
      <c r="F93" s="70"/>
      <c r="G93" s="158"/>
      <c r="H93" s="160"/>
      <c r="I93" s="74"/>
      <c r="J93" s="77">
        <v>91</v>
      </c>
      <c r="K93" s="8"/>
      <c r="L93" s="9"/>
      <c r="M93" s="9"/>
      <c r="N93" s="9"/>
      <c r="O93" s="45"/>
      <c r="P93" s="93"/>
      <c r="Q93" s="160"/>
      <c r="R93" s="167"/>
      <c r="S93" s="183">
        <f t="shared" si="1"/>
        <v>91</v>
      </c>
      <c r="T93" s="168" t="s">
        <v>230</v>
      </c>
      <c r="U93" s="169" t="s">
        <v>5</v>
      </c>
      <c r="V93" s="169" t="s">
        <v>77</v>
      </c>
      <c r="W93" s="170">
        <v>3</v>
      </c>
      <c r="X93" s="171">
        <v>45.806459155744015</v>
      </c>
      <c r="Y93" s="172">
        <v>45.433557764655198</v>
      </c>
      <c r="Z93" s="172">
        <v>44.643370113643705</v>
      </c>
      <c r="AA93" s="185"/>
      <c r="AD93" s="68"/>
      <c r="AE93" s="63"/>
      <c r="AF93" s="68"/>
    </row>
    <row r="94" spans="1:45" x14ac:dyDescent="0.2">
      <c r="A94" s="77">
        <v>92</v>
      </c>
      <c r="B94" s="224"/>
      <c r="C94" s="9"/>
      <c r="D94" s="9"/>
      <c r="E94" s="69"/>
      <c r="F94" s="45"/>
      <c r="G94" s="93"/>
      <c r="H94" s="160"/>
      <c r="I94" s="74"/>
      <c r="J94" s="77">
        <v>92</v>
      </c>
      <c r="K94" s="8"/>
      <c r="L94" s="9"/>
      <c r="M94" s="9"/>
      <c r="N94" s="9"/>
      <c r="O94" s="45"/>
      <c r="P94" s="93"/>
      <c r="Q94" s="160"/>
      <c r="R94" s="167"/>
      <c r="S94" s="183">
        <f t="shared" si="1"/>
        <v>92</v>
      </c>
      <c r="T94" s="168" t="s">
        <v>473</v>
      </c>
      <c r="U94" s="169" t="s">
        <v>5</v>
      </c>
      <c r="V94" s="169" t="s">
        <v>49</v>
      </c>
      <c r="W94" s="170">
        <v>2</v>
      </c>
      <c r="X94" s="171">
        <v>0</v>
      </c>
      <c r="Y94" s="172">
        <v>44.888308873506496</v>
      </c>
      <c r="Z94" s="172">
        <v>44.107604277789619</v>
      </c>
      <c r="AA94" s="185"/>
      <c r="AD94" s="68" t="s">
        <v>29</v>
      </c>
      <c r="AE94" s="68" t="s">
        <v>40</v>
      </c>
      <c r="AF94" s="68" t="s">
        <v>240</v>
      </c>
    </row>
    <row r="95" spans="1:45" x14ac:dyDescent="0.2">
      <c r="A95" s="77">
        <v>93</v>
      </c>
      <c r="B95" s="224"/>
      <c r="C95" s="9"/>
      <c r="D95" s="9"/>
      <c r="E95" s="69"/>
      <c r="F95" s="70"/>
      <c r="G95" s="158"/>
      <c r="H95" s="160"/>
      <c r="I95" s="74"/>
      <c r="J95" s="77">
        <v>93</v>
      </c>
      <c r="K95" s="8"/>
      <c r="L95" s="9"/>
      <c r="M95" s="9"/>
      <c r="N95" s="9"/>
      <c r="O95" s="45"/>
      <c r="P95" s="93"/>
      <c r="Q95" s="160"/>
      <c r="R95" s="167"/>
      <c r="S95" s="183">
        <f t="shared" si="1"/>
        <v>93</v>
      </c>
      <c r="T95" s="168" t="s">
        <v>324</v>
      </c>
      <c r="U95" s="169" t="s">
        <v>5</v>
      </c>
      <c r="V95" s="169" t="s">
        <v>48</v>
      </c>
      <c r="W95" s="170">
        <v>4</v>
      </c>
      <c r="X95" s="171">
        <v>0</v>
      </c>
      <c r="Y95" s="172">
        <v>44.873796807962606</v>
      </c>
      <c r="Z95" s="172">
        <v>44.093344608394034</v>
      </c>
      <c r="AA95" s="185"/>
      <c r="AD95" s="68" t="s">
        <v>31</v>
      </c>
      <c r="AE95" s="63">
        <f>COUNTIF($V$3:$V$85,"NY")</f>
        <v>2</v>
      </c>
      <c r="AF95" s="68">
        <f>COUNTIF($AE$3:$AE$28,"MN")</f>
        <v>0</v>
      </c>
    </row>
    <row r="96" spans="1:45" x14ac:dyDescent="0.2">
      <c r="A96" s="77">
        <v>94</v>
      </c>
      <c r="B96" s="224"/>
      <c r="C96" s="9"/>
      <c r="D96" s="9"/>
      <c r="E96" s="69"/>
      <c r="F96" s="45"/>
      <c r="G96" s="93"/>
      <c r="H96" s="160"/>
      <c r="I96" s="74"/>
      <c r="J96" s="77">
        <v>94</v>
      </c>
      <c r="K96" s="8"/>
      <c r="L96" s="9"/>
      <c r="M96" s="9"/>
      <c r="N96" s="9"/>
      <c r="O96" s="45"/>
      <c r="P96" s="93"/>
      <c r="Q96" s="160"/>
      <c r="R96" s="167"/>
      <c r="S96" s="183">
        <f t="shared" si="1"/>
        <v>94</v>
      </c>
      <c r="T96" s="168" t="s">
        <v>407</v>
      </c>
      <c r="U96" s="169" t="s">
        <v>5</v>
      </c>
      <c r="V96" s="169" t="s">
        <v>31</v>
      </c>
      <c r="W96" s="170">
        <v>2</v>
      </c>
      <c r="X96" s="171">
        <v>35.078876276813681</v>
      </c>
      <c r="Y96" s="172">
        <v>44.837194393328573</v>
      </c>
      <c r="Z96" s="172">
        <v>44.057378788767394</v>
      </c>
      <c r="AA96" s="185"/>
      <c r="AD96" s="68" t="s">
        <v>37</v>
      </c>
      <c r="AE96" s="63">
        <f>COUNTIF($V$3:$V$85,"CO")</f>
        <v>13</v>
      </c>
      <c r="AF96" s="68">
        <f>COUNTIF($AE$3:$AE$28,"CO")</f>
        <v>0</v>
      </c>
    </row>
    <row r="97" spans="1:32" x14ac:dyDescent="0.2">
      <c r="A97" s="77">
        <v>95</v>
      </c>
      <c r="B97" s="224"/>
      <c r="C97" s="9"/>
      <c r="D97" s="9"/>
      <c r="E97" s="69"/>
      <c r="F97" s="45"/>
      <c r="G97" s="93"/>
      <c r="H97" s="160"/>
      <c r="I97" s="74"/>
      <c r="J97" s="77">
        <v>95</v>
      </c>
      <c r="K97" s="8"/>
      <c r="L97" s="9"/>
      <c r="M97" s="9"/>
      <c r="N97" s="9"/>
      <c r="O97" s="45"/>
      <c r="P97" s="93"/>
      <c r="Q97" s="160"/>
      <c r="R97" s="167"/>
      <c r="S97" s="183">
        <f t="shared" si="1"/>
        <v>95</v>
      </c>
      <c r="T97" s="168" t="s">
        <v>389</v>
      </c>
      <c r="U97" s="169" t="s">
        <v>6</v>
      </c>
      <c r="V97" s="169" t="s">
        <v>36</v>
      </c>
      <c r="W97" s="170">
        <v>2</v>
      </c>
      <c r="X97" s="171">
        <v>0</v>
      </c>
      <c r="Y97" s="172">
        <v>44.590229494163111</v>
      </c>
      <c r="Z97" s="172">
        <v>43.814709142343631</v>
      </c>
      <c r="AA97" s="185"/>
      <c r="AD97" s="68" t="s">
        <v>33</v>
      </c>
      <c r="AE97" s="63">
        <f>COUNTIF($V$3:$V$85,"ME")</f>
        <v>1</v>
      </c>
      <c r="AF97" s="68">
        <f>COUNTIF($AE$3:$AE$28,"ME")</f>
        <v>0</v>
      </c>
    </row>
    <row r="98" spans="1:32" x14ac:dyDescent="0.2">
      <c r="A98" s="77">
        <v>96</v>
      </c>
      <c r="B98" s="224"/>
      <c r="C98" s="9"/>
      <c r="D98" s="9"/>
      <c r="E98" s="69"/>
      <c r="F98" s="70"/>
      <c r="G98" s="158"/>
      <c r="H98" s="160"/>
      <c r="I98" s="74"/>
      <c r="J98" s="77">
        <v>96</v>
      </c>
      <c r="K98" s="8"/>
      <c r="L98" s="9"/>
      <c r="M98" s="9"/>
      <c r="N98" s="9"/>
      <c r="O98" s="45"/>
      <c r="P98" s="93"/>
      <c r="Q98" s="160"/>
      <c r="R98" s="167"/>
      <c r="S98" s="183">
        <f t="shared" si="1"/>
        <v>96</v>
      </c>
      <c r="T98" s="168" t="s">
        <v>300</v>
      </c>
      <c r="U98" s="169" t="s">
        <v>5</v>
      </c>
      <c r="V98" s="169" t="s">
        <v>43</v>
      </c>
      <c r="W98" s="170">
        <v>2</v>
      </c>
      <c r="X98" s="171">
        <v>48.378659039708005</v>
      </c>
      <c r="Y98" s="172">
        <v>44.353468733153015</v>
      </c>
      <c r="Z98" s="172">
        <v>43.582066162084125</v>
      </c>
      <c r="AA98" s="185"/>
      <c r="AD98" s="68" t="s">
        <v>36</v>
      </c>
      <c r="AE98" s="63">
        <f>COUNTIF($V$3:$V$85,"WA")</f>
        <v>6</v>
      </c>
      <c r="AF98" s="68">
        <f>COUNTIF($AE$3:$AE$28,"WA")</f>
        <v>0</v>
      </c>
    </row>
    <row r="99" spans="1:32" x14ac:dyDescent="0.2">
      <c r="A99" s="77">
        <v>97</v>
      </c>
      <c r="B99" s="225"/>
      <c r="C99" s="9"/>
      <c r="D99" s="9"/>
      <c r="E99" s="69"/>
      <c r="F99" s="70"/>
      <c r="G99" s="158"/>
      <c r="H99" s="160"/>
      <c r="I99" s="74"/>
      <c r="J99" s="77">
        <v>97</v>
      </c>
      <c r="K99" s="8"/>
      <c r="L99" s="9"/>
      <c r="M99" s="9"/>
      <c r="N99" s="9"/>
      <c r="O99" s="45"/>
      <c r="P99" s="93"/>
      <c r="Q99" s="160"/>
      <c r="R99" s="167"/>
      <c r="S99" s="183">
        <f t="shared" si="1"/>
        <v>97</v>
      </c>
      <c r="T99" s="168" t="s">
        <v>461</v>
      </c>
      <c r="U99" s="169" t="s">
        <v>5</v>
      </c>
      <c r="V99" s="169" t="s">
        <v>51</v>
      </c>
      <c r="W99" s="170">
        <v>1</v>
      </c>
      <c r="X99" s="171">
        <v>0</v>
      </c>
      <c r="Y99" s="172">
        <v>44.306852143773845</v>
      </c>
      <c r="Z99" s="172">
        <v>43.536260335829667</v>
      </c>
      <c r="AA99" s="185"/>
      <c r="AD99" s="68" t="s">
        <v>35</v>
      </c>
      <c r="AE99" s="63">
        <f>COUNTIF($V$3:$V$85,"WY")</f>
        <v>5</v>
      </c>
      <c r="AF99" s="68">
        <f>COUNTIF($AE$3:$AE$28,"WY")</f>
        <v>0</v>
      </c>
    </row>
    <row r="100" spans="1:32" x14ac:dyDescent="0.2">
      <c r="A100" s="77">
        <v>98</v>
      </c>
      <c r="B100" s="224"/>
      <c r="C100" s="9"/>
      <c r="D100" s="9"/>
      <c r="E100" s="69"/>
      <c r="F100" s="45"/>
      <c r="G100" s="93"/>
      <c r="H100" s="160"/>
      <c r="I100" s="74"/>
      <c r="J100" s="77">
        <v>98</v>
      </c>
      <c r="K100" s="8"/>
      <c r="L100" s="9"/>
      <c r="M100" s="9"/>
      <c r="N100" s="9"/>
      <c r="O100" s="45"/>
      <c r="P100" s="93"/>
      <c r="Q100" s="160"/>
      <c r="R100" s="167"/>
      <c r="S100" s="183">
        <f t="shared" si="1"/>
        <v>98</v>
      </c>
      <c r="T100" s="168" t="s">
        <v>405</v>
      </c>
      <c r="U100" s="169" t="s">
        <v>5</v>
      </c>
      <c r="V100" s="169" t="s">
        <v>42</v>
      </c>
      <c r="W100" s="170">
        <v>4</v>
      </c>
      <c r="X100" s="171">
        <v>0</v>
      </c>
      <c r="Y100" s="172">
        <v>44.135208584937303</v>
      </c>
      <c r="Z100" s="172">
        <v>43.367602029023587</v>
      </c>
      <c r="AA100" s="185"/>
      <c r="AD100" s="68" t="s">
        <v>30</v>
      </c>
      <c r="AE100" s="63">
        <f>COUNTIF($V$3:$V$85,"AK")</f>
        <v>6</v>
      </c>
      <c r="AF100" s="68">
        <f>COUNTIF($AE$3:$AE$28,"AK")</f>
        <v>0</v>
      </c>
    </row>
    <row r="101" spans="1:32" x14ac:dyDescent="0.2">
      <c r="A101" s="77">
        <v>99</v>
      </c>
      <c r="B101" s="224"/>
      <c r="C101" s="9"/>
      <c r="D101" s="9"/>
      <c r="E101" s="69"/>
      <c r="F101" s="45"/>
      <c r="G101" s="93"/>
      <c r="H101" s="160"/>
      <c r="I101" s="74"/>
      <c r="J101" s="77">
        <v>99</v>
      </c>
      <c r="K101" s="8"/>
      <c r="L101" s="9"/>
      <c r="M101" s="9"/>
      <c r="N101" s="9"/>
      <c r="O101" s="45"/>
      <c r="P101" s="93"/>
      <c r="Q101" s="160"/>
      <c r="R101" s="167"/>
      <c r="S101" s="183">
        <f t="shared" si="1"/>
        <v>99</v>
      </c>
      <c r="T101" s="168" t="s">
        <v>332</v>
      </c>
      <c r="U101" s="169" t="s">
        <v>5</v>
      </c>
      <c r="V101" s="169" t="s">
        <v>43</v>
      </c>
      <c r="W101" s="170">
        <v>2</v>
      </c>
      <c r="X101" s="171">
        <v>0</v>
      </c>
      <c r="Y101" s="172">
        <v>43.210710669926122</v>
      </c>
      <c r="Z101" s="172">
        <v>42.459183128550777</v>
      </c>
      <c r="AA101" s="185"/>
      <c r="AD101" s="68" t="s">
        <v>49</v>
      </c>
      <c r="AE101" s="63">
        <f>COUNTIF($V$3:$V$85,"ID")</f>
        <v>0</v>
      </c>
      <c r="AF101" s="68">
        <f>COUNTIF($AE$3:$AE$28,"ID")</f>
        <v>0</v>
      </c>
    </row>
    <row r="102" spans="1:32" x14ac:dyDescent="0.2">
      <c r="A102" s="77">
        <v>100</v>
      </c>
      <c r="B102" s="229"/>
      <c r="C102" s="19"/>
      <c r="D102" s="19"/>
      <c r="E102" s="69"/>
      <c r="F102" s="45"/>
      <c r="G102" s="93"/>
      <c r="H102" s="160"/>
      <c r="I102" s="74"/>
      <c r="J102" s="77">
        <v>100</v>
      </c>
      <c r="K102" s="8"/>
      <c r="L102" s="9"/>
      <c r="M102" s="9"/>
      <c r="N102" s="9"/>
      <c r="O102" s="45"/>
      <c r="P102" s="93"/>
      <c r="Q102" s="160"/>
      <c r="R102" s="167"/>
      <c r="S102" s="183">
        <f t="shared" si="1"/>
        <v>100</v>
      </c>
      <c r="T102" s="168" t="s">
        <v>278</v>
      </c>
      <c r="U102" s="169" t="s">
        <v>5</v>
      </c>
      <c r="V102" s="169" t="s">
        <v>41</v>
      </c>
      <c r="W102" s="170">
        <v>2</v>
      </c>
      <c r="X102" s="171">
        <v>35.051243138168495</v>
      </c>
      <c r="Y102" s="172">
        <v>42.929356037954044</v>
      </c>
      <c r="Z102" s="172">
        <v>42.182721861014095</v>
      </c>
      <c r="AA102" s="185"/>
      <c r="AD102" s="68" t="s">
        <v>34</v>
      </c>
      <c r="AE102" s="63">
        <f>COUNTIF($V$3:$V$85,"NY")</f>
        <v>2</v>
      </c>
      <c r="AF102" s="68">
        <f>COUNTIF($AE$3:$AE$28,"NY")</f>
        <v>0</v>
      </c>
    </row>
    <row r="103" spans="1:32" x14ac:dyDescent="0.2">
      <c r="A103" s="77">
        <v>101</v>
      </c>
      <c r="B103" s="229"/>
      <c r="C103" s="19"/>
      <c r="D103" s="19"/>
      <c r="E103" s="69"/>
      <c r="F103" s="45"/>
      <c r="G103" s="93"/>
      <c r="H103" s="160"/>
      <c r="I103" s="74"/>
      <c r="J103" s="77">
        <v>101</v>
      </c>
      <c r="K103" s="8"/>
      <c r="L103" s="9"/>
      <c r="M103" s="9"/>
      <c r="N103" s="9"/>
      <c r="O103" s="45"/>
      <c r="P103" s="93"/>
      <c r="Q103" s="160"/>
      <c r="R103" s="167"/>
      <c r="S103" s="183">
        <f t="shared" si="1"/>
        <v>101</v>
      </c>
      <c r="T103" s="168" t="s">
        <v>413</v>
      </c>
      <c r="U103" s="169" t="s">
        <v>5</v>
      </c>
      <c r="V103" s="169" t="s">
        <v>41</v>
      </c>
      <c r="W103" s="169">
        <v>4</v>
      </c>
      <c r="X103" s="171">
        <v>0</v>
      </c>
      <c r="Y103" s="171">
        <v>42.498617194894251</v>
      </c>
      <c r="Z103" s="172">
        <v>41.759474496309572</v>
      </c>
      <c r="AA103" s="185"/>
      <c r="AD103" s="68" t="s">
        <v>32</v>
      </c>
      <c r="AE103" s="63">
        <f>COUNTIF($V$3:$V$85,"VT")</f>
        <v>10</v>
      </c>
      <c r="AF103" s="68">
        <f>COUNTIF($AE$3:$AE$28,"VT")</f>
        <v>0</v>
      </c>
    </row>
    <row r="104" spans="1:32" x14ac:dyDescent="0.2">
      <c r="A104" s="77">
        <v>102</v>
      </c>
      <c r="B104" s="228"/>
      <c r="C104" s="19"/>
      <c r="D104" s="19"/>
      <c r="E104" s="69"/>
      <c r="F104" s="70"/>
      <c r="G104" s="158"/>
      <c r="H104" s="160"/>
      <c r="I104" s="74"/>
      <c r="J104" s="77">
        <v>102</v>
      </c>
      <c r="K104" s="8"/>
      <c r="L104" s="9"/>
      <c r="M104" s="9"/>
      <c r="N104" s="9"/>
      <c r="O104" s="45"/>
      <c r="P104" s="93"/>
      <c r="Q104" s="160"/>
      <c r="R104" s="167"/>
      <c r="S104" s="183">
        <f t="shared" si="1"/>
        <v>102</v>
      </c>
      <c r="T104" s="168" t="s">
        <v>396</v>
      </c>
      <c r="U104" s="169" t="s">
        <v>5</v>
      </c>
      <c r="V104" s="169" t="s">
        <v>34</v>
      </c>
      <c r="W104" s="170">
        <v>3</v>
      </c>
      <c r="X104" s="171">
        <v>0</v>
      </c>
      <c r="Y104" s="172">
        <v>42.414931872754387</v>
      </c>
      <c r="Z104" s="172">
        <v>41.67724464258071</v>
      </c>
      <c r="AA104" s="185"/>
      <c r="AD104" s="68" t="s">
        <v>48</v>
      </c>
      <c r="AE104" s="63">
        <f>COUNTIF($V$3:$V$85,"CA")</f>
        <v>7</v>
      </c>
      <c r="AF104" s="68">
        <f>COUNTIF($AE$3:$AE$28,"CA")</f>
        <v>0</v>
      </c>
    </row>
    <row r="105" spans="1:32" x14ac:dyDescent="0.2">
      <c r="A105" s="77">
        <v>103</v>
      </c>
      <c r="B105" s="228"/>
      <c r="C105" s="19"/>
      <c r="D105" s="19"/>
      <c r="E105" s="69"/>
      <c r="F105" s="70"/>
      <c r="G105" s="158"/>
      <c r="H105" s="160"/>
      <c r="I105" s="74"/>
      <c r="J105" s="77">
        <v>103</v>
      </c>
      <c r="K105" s="8"/>
      <c r="L105" s="9"/>
      <c r="M105" s="9"/>
      <c r="N105" s="9"/>
      <c r="O105" s="45"/>
      <c r="P105" s="93"/>
      <c r="Q105" s="160"/>
      <c r="R105" s="167"/>
      <c r="S105" s="183">
        <f t="shared" si="1"/>
        <v>103</v>
      </c>
      <c r="T105" s="168" t="s">
        <v>408</v>
      </c>
      <c r="U105" s="169" t="s">
        <v>5</v>
      </c>
      <c r="V105" s="169" t="s">
        <v>31</v>
      </c>
      <c r="W105" s="170">
        <v>2</v>
      </c>
      <c r="X105" s="171">
        <v>0</v>
      </c>
      <c r="Y105" s="172">
        <v>42.22916909453383</v>
      </c>
      <c r="Z105" s="172">
        <v>41.494712680096129</v>
      </c>
      <c r="AA105" s="185"/>
      <c r="AD105" s="68" t="s">
        <v>41</v>
      </c>
      <c r="AE105" s="63">
        <f>COUNTIF($V$3:$V$85,"MT")</f>
        <v>6</v>
      </c>
      <c r="AF105" s="68">
        <f>COUNTIF($AE$3:$AE$28,"MT")</f>
        <v>0</v>
      </c>
    </row>
    <row r="106" spans="1:32" x14ac:dyDescent="0.2">
      <c r="A106" s="77">
        <v>104</v>
      </c>
      <c r="B106" s="229"/>
      <c r="C106" s="19"/>
      <c r="D106" s="19"/>
      <c r="E106" s="69"/>
      <c r="F106" s="70"/>
      <c r="G106" s="158"/>
      <c r="H106" s="160"/>
      <c r="I106" s="74"/>
      <c r="J106" s="77">
        <v>104</v>
      </c>
      <c r="K106" s="8"/>
      <c r="L106" s="9"/>
      <c r="M106" s="9"/>
      <c r="N106" s="9"/>
      <c r="O106" s="45"/>
      <c r="P106" s="93"/>
      <c r="Q106" s="160"/>
      <c r="R106" s="167"/>
      <c r="S106" s="183">
        <f t="shared" si="1"/>
        <v>104</v>
      </c>
      <c r="T106" s="168" t="s">
        <v>500</v>
      </c>
      <c r="U106" s="169" t="s">
        <v>5</v>
      </c>
      <c r="V106" s="169" t="s">
        <v>36</v>
      </c>
      <c r="W106" s="170">
        <v>1</v>
      </c>
      <c r="X106" s="171">
        <v>0</v>
      </c>
      <c r="Y106" s="172">
        <v>41.887156658249175</v>
      </c>
      <c r="Z106" s="172">
        <v>41.158648578411302</v>
      </c>
      <c r="AA106" s="185"/>
      <c r="AD106" s="68" t="s">
        <v>51</v>
      </c>
      <c r="AE106" s="63">
        <f>COUNTIF($V$3:$V$85,"WI")</f>
        <v>4</v>
      </c>
      <c r="AF106" s="68">
        <f>COUNTIF($AE$3:$AE$28,"WI")</f>
        <v>0</v>
      </c>
    </row>
    <row r="107" spans="1:32" x14ac:dyDescent="0.2">
      <c r="A107" s="77">
        <v>105</v>
      </c>
      <c r="B107" s="228"/>
      <c r="C107" s="19"/>
      <c r="D107" s="19"/>
      <c r="E107" s="69"/>
      <c r="F107" s="70"/>
      <c r="G107" s="158"/>
      <c r="H107" s="160"/>
      <c r="I107" s="74"/>
      <c r="J107" s="77">
        <v>105</v>
      </c>
      <c r="K107" s="8"/>
      <c r="L107" s="9"/>
      <c r="M107" s="9"/>
      <c r="N107" s="9"/>
      <c r="O107" s="45"/>
      <c r="P107" s="93"/>
      <c r="Q107" s="160"/>
      <c r="R107" s="167"/>
      <c r="S107" s="183">
        <f t="shared" si="1"/>
        <v>105</v>
      </c>
      <c r="T107" s="168" t="s">
        <v>489</v>
      </c>
      <c r="U107" s="169" t="s">
        <v>5</v>
      </c>
      <c r="V107" s="169" t="s">
        <v>50</v>
      </c>
      <c r="W107" s="170">
        <v>1</v>
      </c>
      <c r="X107" s="171">
        <v>0</v>
      </c>
      <c r="Y107" s="172">
        <v>41.090182629826124</v>
      </c>
      <c r="Z107" s="172">
        <v>40.375535648841627</v>
      </c>
      <c r="AA107" s="185"/>
    </row>
    <row r="108" spans="1:32" x14ac:dyDescent="0.2">
      <c r="A108" s="77">
        <v>106</v>
      </c>
      <c r="B108" s="229"/>
      <c r="C108" s="19"/>
      <c r="D108" s="19"/>
      <c r="E108" s="69"/>
      <c r="F108" s="70"/>
      <c r="G108" s="158"/>
      <c r="H108" s="160"/>
      <c r="I108" s="74"/>
      <c r="J108" s="77">
        <v>106</v>
      </c>
      <c r="K108" s="8"/>
      <c r="L108" s="9"/>
      <c r="M108" s="9"/>
      <c r="N108" s="9"/>
      <c r="O108" s="45"/>
      <c r="P108" s="93"/>
      <c r="Q108" s="160"/>
      <c r="R108" s="167"/>
      <c r="S108" s="183">
        <f t="shared" si="1"/>
        <v>106</v>
      </c>
      <c r="T108" s="168" t="s">
        <v>415</v>
      </c>
      <c r="U108" s="169" t="s">
        <v>5</v>
      </c>
      <c r="V108" s="169" t="s">
        <v>41</v>
      </c>
      <c r="W108" s="170">
        <v>2</v>
      </c>
      <c r="X108" s="171">
        <v>0</v>
      </c>
      <c r="Y108" s="172">
        <v>40.995911293869725</v>
      </c>
      <c r="Z108" s="172">
        <v>40.282903894929468</v>
      </c>
      <c r="AA108" s="185"/>
    </row>
    <row r="109" spans="1:32" x14ac:dyDescent="0.2">
      <c r="A109" s="77">
        <v>107</v>
      </c>
      <c r="B109" s="229"/>
      <c r="C109" s="19"/>
      <c r="D109" s="19"/>
      <c r="E109" s="69"/>
      <c r="F109" s="45"/>
      <c r="G109" s="93"/>
      <c r="H109" s="160"/>
      <c r="I109" s="74"/>
      <c r="J109" s="77">
        <v>107</v>
      </c>
      <c r="K109" s="8"/>
      <c r="L109" s="9"/>
      <c r="M109" s="9"/>
      <c r="N109" s="9"/>
      <c r="O109" s="45"/>
      <c r="P109" s="93"/>
      <c r="Q109" s="160"/>
      <c r="R109" s="167"/>
      <c r="S109" s="183">
        <f t="shared" si="1"/>
        <v>107</v>
      </c>
      <c r="T109" s="168" t="s">
        <v>416</v>
      </c>
      <c r="U109" s="169" t="s">
        <v>5</v>
      </c>
      <c r="V109" s="169" t="s">
        <v>35</v>
      </c>
      <c r="W109" s="170">
        <v>2</v>
      </c>
      <c r="X109" s="171">
        <v>0</v>
      </c>
      <c r="Y109" s="172">
        <v>40.793693826635952</v>
      </c>
      <c r="Z109" s="172">
        <v>40.084203425995831</v>
      </c>
      <c r="AA109" s="185"/>
    </row>
    <row r="110" spans="1:32" x14ac:dyDescent="0.2">
      <c r="A110" s="77">
        <v>108</v>
      </c>
      <c r="B110" s="229"/>
      <c r="C110" s="19"/>
      <c r="D110" s="19"/>
      <c r="E110" s="69"/>
      <c r="F110" s="45"/>
      <c r="G110" s="93"/>
      <c r="H110" s="160"/>
      <c r="I110" s="74"/>
      <c r="J110" s="77">
        <v>108</v>
      </c>
      <c r="K110" s="8"/>
      <c r="L110" s="9"/>
      <c r="M110" s="9"/>
      <c r="N110" s="9"/>
      <c r="O110" s="45"/>
      <c r="P110" s="93"/>
      <c r="Q110" s="160"/>
      <c r="R110" s="167"/>
      <c r="S110" s="183">
        <f t="shared" si="1"/>
        <v>108</v>
      </c>
      <c r="T110" s="168" t="s">
        <v>414</v>
      </c>
      <c r="U110" s="169" t="s">
        <v>5</v>
      </c>
      <c r="V110" s="169" t="s">
        <v>30</v>
      </c>
      <c r="W110" s="170">
        <v>4</v>
      </c>
      <c r="X110" s="171">
        <v>0</v>
      </c>
      <c r="Y110" s="172">
        <v>40.671460629877501</v>
      </c>
      <c r="Z110" s="172">
        <v>39.964096128404741</v>
      </c>
      <c r="AA110" s="185"/>
    </row>
    <row r="111" spans="1:32" x14ac:dyDescent="0.2">
      <c r="A111" s="77">
        <v>109</v>
      </c>
      <c r="B111" s="229"/>
      <c r="C111" s="19"/>
      <c r="D111" s="19"/>
      <c r="E111" s="69"/>
      <c r="F111" s="45"/>
      <c r="G111" s="93"/>
      <c r="H111" s="160"/>
      <c r="I111" s="74"/>
      <c r="J111" s="77">
        <v>109</v>
      </c>
      <c r="K111" s="8"/>
      <c r="L111" s="9"/>
      <c r="M111" s="9"/>
      <c r="N111" s="9"/>
      <c r="O111" s="45"/>
      <c r="P111" s="93"/>
      <c r="Q111" s="160"/>
      <c r="R111" s="167"/>
      <c r="S111" s="183">
        <f t="shared" si="1"/>
        <v>109</v>
      </c>
      <c r="T111" s="168" t="s">
        <v>453</v>
      </c>
      <c r="U111" s="169" t="s">
        <v>6</v>
      </c>
      <c r="V111" s="169" t="s">
        <v>36</v>
      </c>
      <c r="W111" s="169">
        <v>1</v>
      </c>
      <c r="X111" s="171">
        <v>0</v>
      </c>
      <c r="Y111" s="171">
        <v>40.332287729258759</v>
      </c>
      <c r="Z111" s="172">
        <v>39.630822176730632</v>
      </c>
      <c r="AA111" s="185"/>
    </row>
    <row r="112" spans="1:32" x14ac:dyDescent="0.2">
      <c r="A112" s="77">
        <v>110</v>
      </c>
      <c r="B112" s="229"/>
      <c r="C112" s="19"/>
      <c r="D112" s="19"/>
      <c r="E112" s="69"/>
      <c r="F112" s="45"/>
      <c r="G112" s="93"/>
      <c r="H112" s="160"/>
      <c r="I112" s="74"/>
      <c r="J112" s="77">
        <v>110</v>
      </c>
      <c r="K112" s="8"/>
      <c r="L112" s="9"/>
      <c r="M112" s="9"/>
      <c r="N112" s="9"/>
      <c r="O112" s="45"/>
      <c r="P112" s="93"/>
      <c r="Q112" s="160"/>
      <c r="R112" s="167"/>
      <c r="S112" s="183">
        <f t="shared" si="1"/>
        <v>110</v>
      </c>
      <c r="T112" s="168" t="s">
        <v>399</v>
      </c>
      <c r="U112" s="169" t="s">
        <v>5</v>
      </c>
      <c r="V112" s="169" t="s">
        <v>32</v>
      </c>
      <c r="W112" s="170">
        <v>1</v>
      </c>
      <c r="X112" s="171">
        <v>0</v>
      </c>
      <c r="Y112" s="172">
        <v>40.077015034557853</v>
      </c>
      <c r="Z112" s="172">
        <v>39.379989225270563</v>
      </c>
      <c r="AA112" s="185"/>
    </row>
    <row r="113" spans="1:27" x14ac:dyDescent="0.2">
      <c r="A113" s="77">
        <v>111</v>
      </c>
      <c r="B113" s="228"/>
      <c r="C113" s="19"/>
      <c r="D113" s="19"/>
      <c r="E113" s="69"/>
      <c r="F113" s="70"/>
      <c r="G113" s="158"/>
      <c r="H113" s="160"/>
      <c r="I113" s="74"/>
      <c r="J113" s="77">
        <v>111</v>
      </c>
      <c r="K113" s="8"/>
      <c r="L113" s="9"/>
      <c r="M113" s="9"/>
      <c r="N113" s="9"/>
      <c r="O113" s="45"/>
      <c r="P113" s="93"/>
      <c r="Q113" s="160"/>
      <c r="R113" s="167"/>
      <c r="S113" s="183">
        <f t="shared" si="1"/>
        <v>111</v>
      </c>
      <c r="T113" s="168" t="s">
        <v>292</v>
      </c>
      <c r="U113" s="169" t="s">
        <v>5</v>
      </c>
      <c r="V113" s="169" t="s">
        <v>423</v>
      </c>
      <c r="W113" s="169">
        <v>2</v>
      </c>
      <c r="X113" s="171">
        <v>0</v>
      </c>
      <c r="Y113" s="171">
        <v>39.86762593430872</v>
      </c>
      <c r="Z113" s="172">
        <v>39.174241853501741</v>
      </c>
      <c r="AA113" s="185"/>
    </row>
    <row r="114" spans="1:27" x14ac:dyDescent="0.2">
      <c r="A114" s="77">
        <v>112</v>
      </c>
      <c r="B114" s="229"/>
      <c r="C114" s="19"/>
      <c r="D114" s="19"/>
      <c r="E114" s="69"/>
      <c r="F114" s="45"/>
      <c r="G114" s="93"/>
      <c r="H114" s="157"/>
      <c r="I114" s="74"/>
      <c r="J114" s="77">
        <v>112</v>
      </c>
      <c r="K114" s="8"/>
      <c r="L114" s="9"/>
      <c r="M114" s="9"/>
      <c r="N114" s="9"/>
      <c r="O114" s="45"/>
      <c r="P114" s="93"/>
      <c r="Q114" s="160"/>
      <c r="R114" s="167"/>
      <c r="S114" s="183">
        <f t="shared" si="1"/>
        <v>112</v>
      </c>
      <c r="T114" s="168" t="s">
        <v>288</v>
      </c>
      <c r="U114" s="169" t="s">
        <v>5</v>
      </c>
      <c r="V114" s="169" t="s">
        <v>33</v>
      </c>
      <c r="W114" s="170">
        <v>2</v>
      </c>
      <c r="X114" s="171">
        <v>38.75071962622004</v>
      </c>
      <c r="Y114" s="172">
        <v>39.746066949019038</v>
      </c>
      <c r="Z114" s="172">
        <v>39.0547970413865</v>
      </c>
      <c r="AA114" s="185"/>
    </row>
    <row r="115" spans="1:27" x14ac:dyDescent="0.2">
      <c r="A115" s="77">
        <v>113</v>
      </c>
      <c r="B115" s="229"/>
      <c r="C115" s="19"/>
      <c r="D115" s="19"/>
      <c r="E115" s="69"/>
      <c r="F115" s="45"/>
      <c r="G115" s="93"/>
      <c r="H115" s="160"/>
      <c r="I115" s="74"/>
      <c r="J115" s="77">
        <v>113</v>
      </c>
      <c r="K115" s="8"/>
      <c r="L115" s="9"/>
      <c r="M115" s="9"/>
      <c r="N115" s="9"/>
      <c r="O115" s="45"/>
      <c r="P115" s="93"/>
      <c r="Q115" s="160"/>
      <c r="R115" s="167"/>
      <c r="S115" s="183">
        <f t="shared" si="1"/>
        <v>113</v>
      </c>
      <c r="T115" s="168" t="s">
        <v>443</v>
      </c>
      <c r="U115" s="169" t="s">
        <v>5</v>
      </c>
      <c r="V115" s="169" t="s">
        <v>37</v>
      </c>
      <c r="W115" s="170">
        <v>1</v>
      </c>
      <c r="X115" s="171">
        <v>0</v>
      </c>
      <c r="Y115" s="172">
        <v>39.667860129949517</v>
      </c>
      <c r="Z115" s="172">
        <v>38.977950407732649</v>
      </c>
      <c r="AA115" s="185"/>
    </row>
    <row r="116" spans="1:27" x14ac:dyDescent="0.2">
      <c r="A116" s="77">
        <v>114</v>
      </c>
      <c r="B116" s="229"/>
      <c r="C116" s="19"/>
      <c r="D116" s="19"/>
      <c r="E116" s="69"/>
      <c r="F116" s="45"/>
      <c r="G116" s="93"/>
      <c r="H116" s="160"/>
      <c r="I116" s="74"/>
      <c r="J116" s="77">
        <v>114</v>
      </c>
      <c r="K116" s="8"/>
      <c r="L116" s="9"/>
      <c r="M116" s="9"/>
      <c r="N116" s="9"/>
      <c r="O116" s="45"/>
      <c r="P116" s="93"/>
      <c r="Q116" s="160"/>
      <c r="R116" s="167"/>
      <c r="S116" s="183">
        <f t="shared" si="1"/>
        <v>114</v>
      </c>
      <c r="T116" s="168" t="s">
        <v>303</v>
      </c>
      <c r="U116" s="169" t="s">
        <v>5</v>
      </c>
      <c r="V116" s="169" t="s">
        <v>293</v>
      </c>
      <c r="W116" s="170">
        <v>4</v>
      </c>
      <c r="X116" s="171">
        <v>32.618988373151701</v>
      </c>
      <c r="Y116" s="172">
        <v>39.217918091728592</v>
      </c>
      <c r="Z116" s="172">
        <v>38.535833832886503</v>
      </c>
      <c r="AA116" s="185"/>
    </row>
    <row r="117" spans="1:27" x14ac:dyDescent="0.2">
      <c r="A117" s="77">
        <v>115</v>
      </c>
      <c r="B117" s="229"/>
      <c r="C117" s="19"/>
      <c r="D117" s="19"/>
      <c r="E117" s="69"/>
      <c r="F117" s="45"/>
      <c r="G117" s="93"/>
      <c r="H117" s="160"/>
      <c r="I117" s="74"/>
      <c r="J117" s="77">
        <v>115</v>
      </c>
      <c r="K117" s="8"/>
      <c r="L117" s="9"/>
      <c r="M117" s="9"/>
      <c r="N117" s="9"/>
      <c r="O117" s="45"/>
      <c r="P117" s="93"/>
      <c r="Q117" s="160"/>
      <c r="R117" s="167"/>
      <c r="S117" s="183">
        <f t="shared" si="1"/>
        <v>115</v>
      </c>
      <c r="T117" s="168" t="s">
        <v>282</v>
      </c>
      <c r="U117" s="169" t="s">
        <v>5</v>
      </c>
      <c r="V117" s="169" t="s">
        <v>48</v>
      </c>
      <c r="W117" s="170">
        <v>4</v>
      </c>
      <c r="X117" s="171">
        <v>20.804245609205289</v>
      </c>
      <c r="Y117" s="172">
        <v>39.197561259749712</v>
      </c>
      <c r="Z117" s="172">
        <v>38.51583105016185</v>
      </c>
      <c r="AA117" s="185"/>
    </row>
    <row r="118" spans="1:27" x14ac:dyDescent="0.2">
      <c r="A118" s="77">
        <v>116</v>
      </c>
      <c r="B118" s="230"/>
      <c r="C118" s="19"/>
      <c r="D118" s="19"/>
      <c r="E118" s="69"/>
      <c r="F118" s="45"/>
      <c r="G118" s="93"/>
      <c r="H118" s="160"/>
      <c r="I118" s="74"/>
      <c r="J118" s="77">
        <v>116</v>
      </c>
      <c r="K118" s="8"/>
      <c r="L118" s="9"/>
      <c r="M118" s="9"/>
      <c r="N118" s="9"/>
      <c r="O118" s="45"/>
      <c r="P118" s="93"/>
      <c r="Q118" s="160"/>
      <c r="R118" s="167"/>
      <c r="S118" s="183">
        <f t="shared" si="1"/>
        <v>116</v>
      </c>
      <c r="T118" s="168" t="s">
        <v>444</v>
      </c>
      <c r="U118" s="169" t="s">
        <v>5</v>
      </c>
      <c r="V118" s="169" t="s">
        <v>37</v>
      </c>
      <c r="W118" s="170">
        <v>1</v>
      </c>
      <c r="X118" s="171">
        <v>0</v>
      </c>
      <c r="Y118" s="172">
        <v>38.140257312052753</v>
      </c>
      <c r="Z118" s="172">
        <v>37.476915900611921</v>
      </c>
      <c r="AA118" s="185"/>
    </row>
    <row r="119" spans="1:27" x14ac:dyDescent="0.2">
      <c r="A119" s="77">
        <v>117</v>
      </c>
      <c r="B119" s="229"/>
      <c r="C119" s="19"/>
      <c r="D119" s="19"/>
      <c r="E119" s="69"/>
      <c r="F119" s="45"/>
      <c r="G119" s="93"/>
      <c r="H119" s="160"/>
      <c r="I119" s="74"/>
      <c r="J119" s="77">
        <v>117</v>
      </c>
      <c r="K119" s="8"/>
      <c r="L119" s="9"/>
      <c r="M119" s="9"/>
      <c r="N119" s="9"/>
      <c r="O119" s="45"/>
      <c r="P119" s="93"/>
      <c r="Q119" s="160"/>
      <c r="R119" s="167"/>
      <c r="S119" s="183">
        <f t="shared" si="1"/>
        <v>117</v>
      </c>
      <c r="T119" s="168" t="s">
        <v>501</v>
      </c>
      <c r="U119" s="169" t="s">
        <v>5</v>
      </c>
      <c r="V119" s="169" t="s">
        <v>36</v>
      </c>
      <c r="W119" s="170">
        <v>1</v>
      </c>
      <c r="X119" s="171">
        <v>0</v>
      </c>
      <c r="Y119" s="172">
        <v>38.098681051698144</v>
      </c>
      <c r="Z119" s="172">
        <v>37.436062741179271</v>
      </c>
      <c r="AA119" s="185"/>
    </row>
    <row r="120" spans="1:27" x14ac:dyDescent="0.2">
      <c r="A120" s="77">
        <v>118</v>
      </c>
      <c r="B120" s="229"/>
      <c r="C120" s="19"/>
      <c r="D120" s="19"/>
      <c r="E120" s="69"/>
      <c r="F120" s="45"/>
      <c r="G120" s="93"/>
      <c r="H120" s="157"/>
      <c r="I120" s="74"/>
      <c r="J120" s="77">
        <v>118</v>
      </c>
      <c r="K120" s="8"/>
      <c r="L120" s="9"/>
      <c r="M120" s="9"/>
      <c r="N120" s="9"/>
      <c r="O120" s="45"/>
      <c r="P120" s="93"/>
      <c r="Q120" s="160"/>
      <c r="R120" s="167"/>
      <c r="S120" s="183">
        <f t="shared" si="1"/>
        <v>118</v>
      </c>
      <c r="T120" s="168" t="s">
        <v>502</v>
      </c>
      <c r="U120" s="169" t="s">
        <v>5</v>
      </c>
      <c r="V120" s="169" t="s">
        <v>36</v>
      </c>
      <c r="W120" s="170">
        <v>1</v>
      </c>
      <c r="X120" s="171">
        <v>0</v>
      </c>
      <c r="Y120" s="172">
        <v>37.416079682855219</v>
      </c>
      <c r="Z120" s="172">
        <v>36.765333283733142</v>
      </c>
      <c r="AA120" s="185"/>
    </row>
    <row r="121" spans="1:27" x14ac:dyDescent="0.2">
      <c r="A121" s="77">
        <v>119</v>
      </c>
      <c r="B121" s="229"/>
      <c r="C121" s="19"/>
      <c r="D121" s="19"/>
      <c r="E121" s="69"/>
      <c r="F121" s="45"/>
      <c r="G121" s="93"/>
      <c r="H121" s="160"/>
      <c r="I121" s="74"/>
      <c r="J121" s="77">
        <v>119</v>
      </c>
      <c r="K121" s="8"/>
      <c r="L121" s="9"/>
      <c r="M121" s="9"/>
      <c r="N121" s="9"/>
      <c r="O121" s="45"/>
      <c r="P121" s="93"/>
      <c r="Q121" s="160"/>
      <c r="R121" s="167"/>
      <c r="S121" s="183">
        <f t="shared" si="1"/>
        <v>119</v>
      </c>
      <c r="T121" s="168" t="s">
        <v>478</v>
      </c>
      <c r="U121" s="169" t="s">
        <v>5</v>
      </c>
      <c r="V121" s="169" t="s">
        <v>30</v>
      </c>
      <c r="W121" s="170">
        <v>2</v>
      </c>
      <c r="X121" s="171">
        <v>0</v>
      </c>
      <c r="Y121" s="172">
        <v>36.828197941036464</v>
      </c>
      <c r="Z121" s="172">
        <v>36.187676074517505</v>
      </c>
      <c r="AA121" s="185"/>
    </row>
    <row r="122" spans="1:27" x14ac:dyDescent="0.2">
      <c r="A122" s="77">
        <v>120</v>
      </c>
      <c r="B122" s="229"/>
      <c r="C122" s="19"/>
      <c r="D122" s="19"/>
      <c r="E122" s="69"/>
      <c r="F122" s="45"/>
      <c r="G122" s="93"/>
      <c r="H122" s="160"/>
      <c r="I122" s="74"/>
      <c r="J122" s="77">
        <v>120</v>
      </c>
      <c r="K122" s="8"/>
      <c r="L122" s="9"/>
      <c r="M122" s="9"/>
      <c r="N122" s="9"/>
      <c r="O122" s="45"/>
      <c r="P122" s="93"/>
      <c r="Q122" s="160"/>
      <c r="R122" s="167"/>
      <c r="S122" s="183">
        <f t="shared" si="1"/>
        <v>120</v>
      </c>
      <c r="T122" s="168" t="s">
        <v>305</v>
      </c>
      <c r="U122" s="169" t="s">
        <v>5</v>
      </c>
      <c r="V122" s="169" t="s">
        <v>34</v>
      </c>
      <c r="W122" s="170">
        <v>1</v>
      </c>
      <c r="X122" s="171">
        <v>34.96200018984873</v>
      </c>
      <c r="Y122" s="172">
        <v>36.652378120337609</v>
      </c>
      <c r="Z122" s="172">
        <v>36.014914140058572</v>
      </c>
      <c r="AA122" s="185"/>
    </row>
    <row r="123" spans="1:27" x14ac:dyDescent="0.2">
      <c r="A123" s="77">
        <v>121</v>
      </c>
      <c r="B123" s="229"/>
      <c r="C123" s="19"/>
      <c r="D123" s="19"/>
      <c r="E123" s="69"/>
      <c r="F123" s="45"/>
      <c r="G123" s="93"/>
      <c r="H123" s="160"/>
      <c r="I123" s="74"/>
      <c r="J123" s="77">
        <v>121</v>
      </c>
      <c r="K123" s="8"/>
      <c r="L123" s="9"/>
      <c r="M123" s="9"/>
      <c r="N123" s="9"/>
      <c r="O123" s="45"/>
      <c r="P123" s="93"/>
      <c r="Q123" s="160"/>
      <c r="R123" s="167"/>
      <c r="S123" s="183">
        <f t="shared" si="1"/>
        <v>121</v>
      </c>
      <c r="T123" s="168" t="s">
        <v>479</v>
      </c>
      <c r="U123" s="169" t="s">
        <v>5</v>
      </c>
      <c r="V123" s="169" t="s">
        <v>49</v>
      </c>
      <c r="W123" s="170">
        <v>2</v>
      </c>
      <c r="X123" s="171">
        <v>0</v>
      </c>
      <c r="Y123" s="172">
        <v>35.956857147045895</v>
      </c>
      <c r="Z123" s="172">
        <v>35.331489777975726</v>
      </c>
      <c r="AA123" s="185"/>
    </row>
    <row r="124" spans="1:27" x14ac:dyDescent="0.2">
      <c r="A124" s="77">
        <v>122</v>
      </c>
      <c r="B124" s="229"/>
      <c r="C124" s="19"/>
      <c r="D124" s="19"/>
      <c r="E124" s="69"/>
      <c r="F124" s="45"/>
      <c r="G124" s="93"/>
      <c r="H124" s="160"/>
      <c r="I124" s="74"/>
      <c r="J124" s="77">
        <v>122</v>
      </c>
      <c r="K124" s="8"/>
      <c r="L124" s="9"/>
      <c r="M124" s="9"/>
      <c r="N124" s="9"/>
      <c r="O124" s="45"/>
      <c r="P124" s="93"/>
      <c r="Q124" s="160"/>
      <c r="R124" s="167"/>
      <c r="S124" s="183">
        <f t="shared" si="1"/>
        <v>122</v>
      </c>
      <c r="T124" s="168" t="s">
        <v>419</v>
      </c>
      <c r="U124" s="169" t="s">
        <v>5</v>
      </c>
      <c r="V124" s="169" t="s">
        <v>35</v>
      </c>
      <c r="W124" s="170">
        <v>3</v>
      </c>
      <c r="X124" s="171">
        <v>0</v>
      </c>
      <c r="Y124" s="172">
        <v>35.758720715431629</v>
      </c>
      <c r="Z124" s="172">
        <v>35.136799366642066</v>
      </c>
      <c r="AA124" s="185"/>
    </row>
    <row r="125" spans="1:27" x14ac:dyDescent="0.2">
      <c r="A125" s="77">
        <v>123</v>
      </c>
      <c r="B125" s="229"/>
      <c r="C125" s="19"/>
      <c r="D125" s="19"/>
      <c r="E125" s="69"/>
      <c r="F125" s="45"/>
      <c r="G125" s="93"/>
      <c r="H125" s="160"/>
      <c r="I125" s="74"/>
      <c r="J125" s="77">
        <v>123</v>
      </c>
      <c r="K125" s="8"/>
      <c r="L125" s="9"/>
      <c r="M125" s="9"/>
      <c r="N125" s="9"/>
      <c r="O125" s="45"/>
      <c r="P125" s="93"/>
      <c r="Q125" s="160"/>
      <c r="R125" s="167"/>
      <c r="S125" s="183">
        <f t="shared" si="1"/>
        <v>123</v>
      </c>
      <c r="T125" s="168" t="s">
        <v>417</v>
      </c>
      <c r="U125" s="169" t="s">
        <v>5</v>
      </c>
      <c r="V125" s="169" t="s">
        <v>49</v>
      </c>
      <c r="W125" s="170">
        <v>2</v>
      </c>
      <c r="X125" s="171">
        <v>0</v>
      </c>
      <c r="Y125" s="172">
        <v>33.918960567969208</v>
      </c>
      <c r="Z125" s="172">
        <v>33.329036619798771</v>
      </c>
      <c r="AA125" s="185"/>
    </row>
    <row r="126" spans="1:27" x14ac:dyDescent="0.2">
      <c r="A126" s="77">
        <v>124</v>
      </c>
      <c r="B126" s="229"/>
      <c r="C126" s="19"/>
      <c r="D126" s="19"/>
      <c r="E126" s="69"/>
      <c r="F126" s="45"/>
      <c r="G126" s="93"/>
      <c r="H126" s="160"/>
      <c r="I126" s="74"/>
      <c r="J126" s="77">
        <v>124</v>
      </c>
      <c r="K126" s="8"/>
      <c r="L126" s="9"/>
      <c r="M126" s="9"/>
      <c r="N126" s="9"/>
      <c r="O126" s="45"/>
      <c r="P126" s="93"/>
      <c r="Q126" s="160"/>
      <c r="R126" s="167"/>
      <c r="S126" s="183">
        <f t="shared" si="1"/>
        <v>124</v>
      </c>
      <c r="T126" s="168" t="s">
        <v>403</v>
      </c>
      <c r="U126" s="169" t="s">
        <v>5</v>
      </c>
      <c r="V126" s="169" t="s">
        <v>60</v>
      </c>
      <c r="W126" s="170">
        <v>2</v>
      </c>
      <c r="X126" s="171">
        <v>0</v>
      </c>
      <c r="Y126" s="172">
        <v>33.129587724328104</v>
      </c>
      <c r="Z126" s="172">
        <v>32.553392673998331</v>
      </c>
      <c r="AA126" s="185"/>
    </row>
    <row r="127" spans="1:27" x14ac:dyDescent="0.2">
      <c r="A127" s="77">
        <v>125</v>
      </c>
      <c r="B127" s="229"/>
      <c r="C127" s="19"/>
      <c r="D127" s="19"/>
      <c r="E127" s="69"/>
      <c r="F127" s="45"/>
      <c r="G127" s="93"/>
      <c r="H127" s="160"/>
      <c r="I127" s="74"/>
      <c r="J127" s="77">
        <v>125</v>
      </c>
      <c r="K127" s="8"/>
      <c r="L127" s="9"/>
      <c r="M127" s="9"/>
      <c r="N127" s="9"/>
      <c r="O127" s="45"/>
      <c r="P127" s="93"/>
      <c r="Q127" s="160"/>
      <c r="R127" s="167"/>
      <c r="S127" s="183">
        <f t="shared" si="1"/>
        <v>125</v>
      </c>
      <c r="T127" s="168" t="s">
        <v>512</v>
      </c>
      <c r="U127" s="169" t="s">
        <v>6</v>
      </c>
      <c r="V127" s="169" t="s">
        <v>36</v>
      </c>
      <c r="W127" s="170">
        <v>1</v>
      </c>
      <c r="X127" s="171">
        <v>0</v>
      </c>
      <c r="Y127" s="172">
        <v>32.995323507115287</v>
      </c>
      <c r="Z127" s="172">
        <v>32.421463601371023</v>
      </c>
      <c r="AA127" s="185"/>
    </row>
    <row r="128" spans="1:27" x14ac:dyDescent="0.2">
      <c r="A128" s="77">
        <v>126</v>
      </c>
      <c r="B128" s="229"/>
      <c r="C128" s="19"/>
      <c r="D128" s="19"/>
      <c r="E128" s="69"/>
      <c r="F128" s="45"/>
      <c r="G128" s="93"/>
      <c r="H128" s="157"/>
      <c r="I128" s="74"/>
      <c r="J128" s="77">
        <v>126</v>
      </c>
      <c r="K128" s="8"/>
      <c r="L128" s="9"/>
      <c r="M128" s="9"/>
      <c r="N128" s="9"/>
      <c r="O128" s="45"/>
      <c r="P128" s="93"/>
      <c r="Q128" s="160"/>
      <c r="R128" s="167"/>
      <c r="S128" s="183">
        <f t="shared" si="1"/>
        <v>126</v>
      </c>
      <c r="T128" s="168" t="s">
        <v>410</v>
      </c>
      <c r="U128" s="169" t="s">
        <v>5</v>
      </c>
      <c r="V128" s="169" t="s">
        <v>41</v>
      </c>
      <c r="W128" s="169">
        <v>2</v>
      </c>
      <c r="X128" s="171">
        <v>0</v>
      </c>
      <c r="Y128" s="171">
        <v>31.365039718524486</v>
      </c>
      <c r="Z128" s="172">
        <v>30.819533967303219</v>
      </c>
      <c r="AA128" s="185"/>
    </row>
    <row r="129" spans="1:27" x14ac:dyDescent="0.2">
      <c r="A129" s="77">
        <v>127</v>
      </c>
      <c r="B129" s="229"/>
      <c r="C129" s="19"/>
      <c r="D129" s="19"/>
      <c r="E129" s="69"/>
      <c r="F129" s="45"/>
      <c r="G129" s="93"/>
      <c r="H129" s="160"/>
      <c r="I129" s="74"/>
      <c r="J129" s="77">
        <v>127</v>
      </c>
      <c r="K129" s="8"/>
      <c r="L129" s="9"/>
      <c r="M129" s="9"/>
      <c r="N129" s="9"/>
      <c r="O129" s="45"/>
      <c r="P129" s="93"/>
      <c r="Q129" s="160"/>
      <c r="R129" s="167"/>
      <c r="S129" s="183">
        <f t="shared" si="1"/>
        <v>127</v>
      </c>
      <c r="T129" s="168" t="s">
        <v>258</v>
      </c>
      <c r="U129" s="169" t="s">
        <v>5</v>
      </c>
      <c r="V129" s="169" t="s">
        <v>36</v>
      </c>
      <c r="W129" s="170">
        <v>5</v>
      </c>
      <c r="X129" s="171">
        <v>31.480806867006041</v>
      </c>
      <c r="Y129" s="172">
        <v>31.026230059756944</v>
      </c>
      <c r="Z129" s="172">
        <v>30.486616939920356</v>
      </c>
      <c r="AA129" s="185"/>
    </row>
    <row r="130" spans="1:27" x14ac:dyDescent="0.2">
      <c r="A130" s="77">
        <v>128</v>
      </c>
      <c r="B130" s="229"/>
      <c r="C130" s="19"/>
      <c r="D130" s="19"/>
      <c r="E130" s="69"/>
      <c r="F130" s="45"/>
      <c r="G130" s="93"/>
      <c r="H130" s="160"/>
      <c r="I130" s="74"/>
      <c r="J130" s="77">
        <v>128</v>
      </c>
      <c r="K130" s="8"/>
      <c r="L130" s="9"/>
      <c r="M130" s="9"/>
      <c r="N130" s="9"/>
      <c r="O130" s="45"/>
      <c r="P130" s="93"/>
      <c r="Q130" s="160"/>
      <c r="R130" s="167"/>
      <c r="S130" s="183">
        <f t="shared" si="1"/>
        <v>128</v>
      </c>
      <c r="T130" s="168" t="s">
        <v>420</v>
      </c>
      <c r="U130" s="169" t="s">
        <v>5</v>
      </c>
      <c r="V130" s="169" t="s">
        <v>35</v>
      </c>
      <c r="W130" s="170">
        <v>2</v>
      </c>
      <c r="X130" s="171">
        <v>0</v>
      </c>
      <c r="Y130" s="172">
        <v>30.927437876377475</v>
      </c>
      <c r="Z130" s="172">
        <v>30.389542965881375</v>
      </c>
      <c r="AA130" s="185"/>
    </row>
    <row r="131" spans="1:27" x14ac:dyDescent="0.2">
      <c r="A131" s="77">
        <v>129</v>
      </c>
      <c r="B131" s="229"/>
      <c r="C131" s="19"/>
      <c r="D131" s="19"/>
      <c r="E131" s="69"/>
      <c r="F131" s="45"/>
      <c r="G131" s="93"/>
      <c r="H131" s="160"/>
      <c r="I131" s="74"/>
      <c r="J131" s="77">
        <v>129</v>
      </c>
      <c r="K131" s="8"/>
      <c r="L131" s="9"/>
      <c r="M131" s="9"/>
      <c r="N131" s="9"/>
      <c r="O131" s="45"/>
      <c r="P131" s="93"/>
      <c r="Q131" s="160"/>
      <c r="R131" s="167"/>
      <c r="S131" s="183">
        <f t="shared" si="1"/>
        <v>129</v>
      </c>
      <c r="T131" s="168" t="s">
        <v>495</v>
      </c>
      <c r="U131" s="169" t="s">
        <v>5</v>
      </c>
      <c r="V131" s="169" t="s">
        <v>48</v>
      </c>
      <c r="W131" s="170">
        <v>1</v>
      </c>
      <c r="X131" s="171">
        <v>0</v>
      </c>
      <c r="Y131" s="172">
        <v>30.836373169058707</v>
      </c>
      <c r="Z131" s="172">
        <v>30.300062070412409</v>
      </c>
      <c r="AA131" s="185"/>
    </row>
    <row r="132" spans="1:27" x14ac:dyDescent="0.2">
      <c r="A132" s="77">
        <v>130</v>
      </c>
      <c r="B132" s="229"/>
      <c r="C132" s="19"/>
      <c r="D132" s="19"/>
      <c r="E132" s="69"/>
      <c r="F132" s="45"/>
      <c r="G132" s="93"/>
      <c r="H132" s="160"/>
      <c r="I132" s="74"/>
      <c r="J132" s="77">
        <v>130</v>
      </c>
      <c r="K132" s="8"/>
      <c r="L132" s="9"/>
      <c r="M132" s="9"/>
      <c r="N132" s="9"/>
      <c r="O132" s="45"/>
      <c r="P132" s="93"/>
      <c r="Q132" s="160"/>
      <c r="R132" s="167"/>
      <c r="S132" s="183">
        <f t="shared" si="1"/>
        <v>130</v>
      </c>
      <c r="T132" s="168" t="s">
        <v>421</v>
      </c>
      <c r="U132" s="169" t="s">
        <v>5</v>
      </c>
      <c r="V132" s="169" t="s">
        <v>48</v>
      </c>
      <c r="W132" s="170">
        <v>3</v>
      </c>
      <c r="X132" s="171">
        <v>0</v>
      </c>
      <c r="Y132" s="172">
        <v>29.311586236644985</v>
      </c>
      <c r="Z132" s="172">
        <v>28.80179447444727</v>
      </c>
      <c r="AA132" s="185"/>
    </row>
    <row r="133" spans="1:27" x14ac:dyDescent="0.2">
      <c r="A133" s="77">
        <v>131</v>
      </c>
      <c r="B133" s="229"/>
      <c r="C133" s="19"/>
      <c r="D133" s="19"/>
      <c r="E133" s="69"/>
      <c r="F133" s="45"/>
      <c r="G133" s="93"/>
      <c r="H133" s="160"/>
      <c r="I133" s="74"/>
      <c r="J133" s="77">
        <v>131</v>
      </c>
      <c r="K133" s="8"/>
      <c r="L133" s="9"/>
      <c r="M133" s="9"/>
      <c r="N133" s="9"/>
      <c r="O133" s="45"/>
      <c r="P133" s="93"/>
      <c r="Q133" s="160"/>
      <c r="R133" s="167"/>
      <c r="S133" s="183">
        <f t="shared" ref="S133:S166" si="2">S132+1</f>
        <v>131</v>
      </c>
      <c r="T133" s="168" t="s">
        <v>404</v>
      </c>
      <c r="U133" s="169" t="s">
        <v>5</v>
      </c>
      <c r="V133" s="169" t="s">
        <v>60</v>
      </c>
      <c r="W133" s="170">
        <v>2</v>
      </c>
      <c r="X133" s="171">
        <v>0</v>
      </c>
      <c r="Y133" s="172">
        <v>28.820061518102726</v>
      </c>
      <c r="Z133" s="172">
        <v>28.318818431858826</v>
      </c>
      <c r="AA133" s="185"/>
    </row>
    <row r="134" spans="1:27" x14ac:dyDescent="0.2">
      <c r="A134" s="77">
        <v>132</v>
      </c>
      <c r="B134" s="229"/>
      <c r="C134" s="19"/>
      <c r="D134" s="19"/>
      <c r="E134" s="69"/>
      <c r="F134" s="45"/>
      <c r="G134" s="93"/>
      <c r="H134" s="160"/>
      <c r="I134" s="74"/>
      <c r="J134" s="77">
        <v>132</v>
      </c>
      <c r="K134" s="8"/>
      <c r="L134" s="9"/>
      <c r="M134" s="9"/>
      <c r="N134" s="9"/>
      <c r="O134" s="45"/>
      <c r="P134" s="93"/>
      <c r="Q134" s="160"/>
      <c r="R134" s="167"/>
      <c r="S134" s="183">
        <f t="shared" si="2"/>
        <v>132</v>
      </c>
      <c r="T134" s="168" t="s">
        <v>481</v>
      </c>
      <c r="U134" s="169" t="s">
        <v>5</v>
      </c>
      <c r="V134" s="169" t="s">
        <v>49</v>
      </c>
      <c r="W134" s="170">
        <v>2</v>
      </c>
      <c r="X134" s="171">
        <v>0</v>
      </c>
      <c r="Y134" s="172">
        <v>28.673016518538041</v>
      </c>
      <c r="Z134" s="172">
        <v>28.174330862275763</v>
      </c>
      <c r="AA134" s="185"/>
    </row>
    <row r="135" spans="1:27" x14ac:dyDescent="0.2">
      <c r="A135" s="77">
        <v>133</v>
      </c>
      <c r="B135" s="229"/>
      <c r="C135" s="19"/>
      <c r="D135" s="19"/>
      <c r="E135" s="69"/>
      <c r="F135" s="45"/>
      <c r="G135" s="93"/>
      <c r="H135" s="160"/>
      <c r="I135" s="74"/>
      <c r="J135" s="77">
        <v>133</v>
      </c>
      <c r="K135" s="8"/>
      <c r="L135" s="9"/>
      <c r="M135" s="9"/>
      <c r="N135" s="9"/>
      <c r="O135" s="45"/>
      <c r="P135" s="93"/>
      <c r="Q135" s="160"/>
      <c r="R135" s="167"/>
      <c r="S135" s="183">
        <f t="shared" si="2"/>
        <v>133</v>
      </c>
      <c r="T135" s="168" t="s">
        <v>483</v>
      </c>
      <c r="U135" s="169" t="s">
        <v>5</v>
      </c>
      <c r="V135" s="169" t="s">
        <v>423</v>
      </c>
      <c r="W135" s="170">
        <v>2</v>
      </c>
      <c r="X135" s="171">
        <v>0</v>
      </c>
      <c r="Y135" s="172">
        <v>27.63770401326002</v>
      </c>
      <c r="Z135" s="172">
        <v>27.157024676486213</v>
      </c>
      <c r="AA135" s="185"/>
    </row>
    <row r="136" spans="1:27" x14ac:dyDescent="0.2">
      <c r="A136" s="77">
        <v>134</v>
      </c>
      <c r="B136" s="229"/>
      <c r="C136" s="19"/>
      <c r="D136" s="19"/>
      <c r="E136" s="69"/>
      <c r="F136" s="45"/>
      <c r="G136" s="93"/>
      <c r="H136" s="160"/>
      <c r="I136" s="74"/>
      <c r="J136" s="77">
        <v>134</v>
      </c>
      <c r="K136" s="8"/>
      <c r="L136" s="9"/>
      <c r="M136" s="9"/>
      <c r="N136" s="9"/>
      <c r="O136" s="45"/>
      <c r="P136" s="93"/>
      <c r="Q136" s="160"/>
      <c r="R136" s="167"/>
      <c r="S136" s="183">
        <f t="shared" si="2"/>
        <v>134</v>
      </c>
      <c r="T136" s="168" t="s">
        <v>503</v>
      </c>
      <c r="U136" s="169" t="s">
        <v>5</v>
      </c>
      <c r="V136" s="169" t="s">
        <v>36</v>
      </c>
      <c r="W136" s="170">
        <v>1</v>
      </c>
      <c r="X136" s="171">
        <v>0</v>
      </c>
      <c r="Y136" s="172">
        <v>26.75762551813246</v>
      </c>
      <c r="Z136" s="172">
        <v>26.292252646293072</v>
      </c>
      <c r="AA136" s="185"/>
    </row>
    <row r="137" spans="1:27" x14ac:dyDescent="0.2">
      <c r="A137" s="77">
        <v>135</v>
      </c>
      <c r="B137" s="229"/>
      <c r="C137" s="19"/>
      <c r="D137" s="19"/>
      <c r="E137" s="69"/>
      <c r="F137" s="45"/>
      <c r="G137" s="93"/>
      <c r="H137" s="160"/>
      <c r="I137" s="74"/>
      <c r="J137" s="77">
        <v>135</v>
      </c>
      <c r="K137" s="8"/>
      <c r="L137" s="9"/>
      <c r="M137" s="9"/>
      <c r="N137" s="9"/>
      <c r="O137" s="45"/>
      <c r="P137" s="93"/>
      <c r="Q137" s="160"/>
      <c r="R137" s="167"/>
      <c r="S137" s="183">
        <f t="shared" si="2"/>
        <v>135</v>
      </c>
      <c r="T137" s="168" t="s">
        <v>482</v>
      </c>
      <c r="U137" s="169" t="s">
        <v>5</v>
      </c>
      <c r="V137" s="169" t="s">
        <v>48</v>
      </c>
      <c r="W137" s="170">
        <v>1</v>
      </c>
      <c r="X137" s="171">
        <v>0</v>
      </c>
      <c r="Y137" s="172">
        <v>25.096205277261451</v>
      </c>
      <c r="Z137" s="172">
        <v>24.659728090067262</v>
      </c>
      <c r="AA137" s="185"/>
    </row>
    <row r="138" spans="1:27" x14ac:dyDescent="0.2">
      <c r="A138" s="77">
        <v>136</v>
      </c>
      <c r="B138" s="229"/>
      <c r="C138" s="19"/>
      <c r="D138" s="19"/>
      <c r="E138" s="69"/>
      <c r="F138" s="45"/>
      <c r="G138" s="93"/>
      <c r="H138" s="160"/>
      <c r="I138" s="74"/>
      <c r="J138" s="77">
        <v>136</v>
      </c>
      <c r="K138" s="8"/>
      <c r="L138" s="9"/>
      <c r="M138" s="9"/>
      <c r="N138" s="9"/>
      <c r="O138" s="45"/>
      <c r="P138" s="93"/>
      <c r="Q138" s="160"/>
      <c r="R138" s="167"/>
      <c r="S138" s="183">
        <f t="shared" si="2"/>
        <v>136</v>
      </c>
      <c r="T138" s="168" t="s">
        <v>294</v>
      </c>
      <c r="U138" s="169" t="s">
        <v>5</v>
      </c>
      <c r="V138" s="169" t="s">
        <v>36</v>
      </c>
      <c r="W138" s="170">
        <v>2</v>
      </c>
      <c r="X138" s="171">
        <v>22.286310919943894</v>
      </c>
      <c r="Y138" s="172">
        <v>23.427009064730093</v>
      </c>
      <c r="Z138" s="172">
        <v>23.019562803114958</v>
      </c>
      <c r="AA138" s="185"/>
    </row>
    <row r="139" spans="1:27" ht="13.5" thickBot="1" x14ac:dyDescent="0.25">
      <c r="A139" s="77">
        <v>137</v>
      </c>
      <c r="B139" s="229"/>
      <c r="C139" s="19"/>
      <c r="D139" s="19"/>
      <c r="E139" s="69"/>
      <c r="F139" s="45"/>
      <c r="G139" s="93"/>
      <c r="H139" s="160"/>
      <c r="I139" s="74"/>
      <c r="J139" s="77">
        <v>137</v>
      </c>
      <c r="K139" s="8"/>
      <c r="L139" s="9"/>
      <c r="M139" s="9"/>
      <c r="N139" s="9"/>
      <c r="O139" s="45"/>
      <c r="P139" s="93"/>
      <c r="Q139" s="160"/>
      <c r="R139" s="167"/>
      <c r="S139" s="184">
        <f t="shared" si="2"/>
        <v>137</v>
      </c>
      <c r="T139" s="173" t="s">
        <v>484</v>
      </c>
      <c r="U139" s="174" t="s">
        <v>5</v>
      </c>
      <c r="V139" s="174" t="s">
        <v>48</v>
      </c>
      <c r="W139" s="174">
        <v>2</v>
      </c>
      <c r="X139" s="176">
        <v>0</v>
      </c>
      <c r="Y139" s="176">
        <v>18.573670748938248</v>
      </c>
      <c r="Z139" s="177">
        <v>18.250634517970177</v>
      </c>
      <c r="AA139" s="186"/>
    </row>
    <row r="140" spans="1:27" x14ac:dyDescent="0.2">
      <c r="A140" s="77">
        <v>138</v>
      </c>
      <c r="B140" s="229"/>
      <c r="C140" s="19"/>
      <c r="D140" s="19"/>
      <c r="E140" s="69"/>
      <c r="F140" s="45"/>
      <c r="G140" s="93"/>
      <c r="H140" s="160"/>
      <c r="I140" s="74"/>
      <c r="J140" s="77">
        <v>138</v>
      </c>
      <c r="K140" s="8"/>
      <c r="L140" s="9"/>
      <c r="M140" s="9"/>
      <c r="N140" s="9"/>
      <c r="O140" s="45"/>
      <c r="P140" s="93"/>
      <c r="Q140" s="160"/>
      <c r="R140" s="167"/>
      <c r="S140" s="237">
        <f t="shared" si="2"/>
        <v>138</v>
      </c>
      <c r="T140" s="238" t="s">
        <v>301</v>
      </c>
      <c r="U140" s="239" t="s">
        <v>5</v>
      </c>
      <c r="V140" s="239" t="s">
        <v>32</v>
      </c>
      <c r="W140" s="240">
        <v>0</v>
      </c>
      <c r="X140" s="241">
        <v>51.589615334121</v>
      </c>
      <c r="Y140" s="242">
        <v>0</v>
      </c>
      <c r="Z140" s="242">
        <v>0</v>
      </c>
      <c r="AA140" s="308"/>
    </row>
    <row r="141" spans="1:27" x14ac:dyDescent="0.2">
      <c r="A141" s="77">
        <v>139</v>
      </c>
      <c r="B141" s="229"/>
      <c r="C141" s="19"/>
      <c r="D141" s="19"/>
      <c r="E141" s="69"/>
      <c r="F141" s="45"/>
      <c r="G141" s="93"/>
      <c r="H141" s="160"/>
      <c r="I141" s="74"/>
      <c r="J141" s="77">
        <v>139</v>
      </c>
      <c r="K141" s="8"/>
      <c r="L141" s="9"/>
      <c r="M141" s="9"/>
      <c r="N141" s="9"/>
      <c r="O141" s="45"/>
      <c r="P141" s="93"/>
      <c r="Q141" s="160"/>
      <c r="R141" s="167"/>
      <c r="S141" s="183">
        <f t="shared" si="2"/>
        <v>139</v>
      </c>
      <c r="T141" s="168" t="s">
        <v>307</v>
      </c>
      <c r="U141" s="169" t="s">
        <v>5</v>
      </c>
      <c r="V141" s="169" t="s">
        <v>31</v>
      </c>
      <c r="W141" s="170">
        <v>0</v>
      </c>
      <c r="X141" s="171">
        <v>30.098211706801315</v>
      </c>
      <c r="Y141" s="172">
        <v>0</v>
      </c>
      <c r="Z141" s="172">
        <v>0</v>
      </c>
      <c r="AA141" s="185"/>
    </row>
    <row r="142" spans="1:27" x14ac:dyDescent="0.2">
      <c r="A142" s="77">
        <v>140</v>
      </c>
      <c r="B142" s="229"/>
      <c r="C142" s="19"/>
      <c r="D142" s="19"/>
      <c r="E142" s="69"/>
      <c r="F142" s="45"/>
      <c r="G142" s="93"/>
      <c r="H142" s="160"/>
      <c r="I142" s="74"/>
      <c r="J142" s="77">
        <v>140</v>
      </c>
      <c r="K142" s="8"/>
      <c r="L142" s="9"/>
      <c r="M142" s="9"/>
      <c r="N142" s="9"/>
      <c r="O142" s="45"/>
      <c r="P142" s="93"/>
      <c r="Q142" s="160"/>
      <c r="R142" s="167"/>
      <c r="S142" s="183">
        <f t="shared" si="2"/>
        <v>140</v>
      </c>
      <c r="T142" s="168" t="s">
        <v>306</v>
      </c>
      <c r="U142" s="169" t="s">
        <v>5</v>
      </c>
      <c r="V142" s="169" t="s">
        <v>48</v>
      </c>
      <c r="W142" s="170">
        <v>0</v>
      </c>
      <c r="X142" s="171">
        <v>35.09939990485244</v>
      </c>
      <c r="Y142" s="172">
        <v>0</v>
      </c>
      <c r="Z142" s="172">
        <v>0</v>
      </c>
      <c r="AA142" s="185"/>
    </row>
    <row r="143" spans="1:27" x14ac:dyDescent="0.2">
      <c r="A143" s="77">
        <v>141</v>
      </c>
      <c r="B143" s="229"/>
      <c r="C143" s="19"/>
      <c r="D143" s="19"/>
      <c r="E143" s="69"/>
      <c r="F143" s="45"/>
      <c r="G143" s="93"/>
      <c r="H143" s="160"/>
      <c r="I143" s="74"/>
      <c r="J143" s="77">
        <v>141</v>
      </c>
      <c r="K143" s="8"/>
      <c r="L143" s="9"/>
      <c r="M143" s="9"/>
      <c r="N143" s="9"/>
      <c r="O143" s="45"/>
      <c r="P143" s="93"/>
      <c r="Q143" s="160"/>
      <c r="R143" s="167"/>
      <c r="S143" s="183">
        <f t="shared" si="2"/>
        <v>141</v>
      </c>
      <c r="T143" s="168" t="s">
        <v>308</v>
      </c>
      <c r="U143" s="169" t="s">
        <v>5</v>
      </c>
      <c r="V143" s="169" t="s">
        <v>31</v>
      </c>
      <c r="W143" s="170">
        <v>0</v>
      </c>
      <c r="X143" s="171">
        <v>26.567025136693566</v>
      </c>
      <c r="Y143" s="172">
        <v>0</v>
      </c>
      <c r="Z143" s="172">
        <v>0</v>
      </c>
      <c r="AA143" s="185"/>
    </row>
    <row r="144" spans="1:27" x14ac:dyDescent="0.2">
      <c r="A144" s="77">
        <v>142</v>
      </c>
      <c r="B144" s="229"/>
      <c r="C144" s="19"/>
      <c r="D144" s="19"/>
      <c r="E144" s="69"/>
      <c r="F144" s="45"/>
      <c r="G144" s="93"/>
      <c r="H144" s="160"/>
      <c r="I144" s="74"/>
      <c r="J144" s="77">
        <v>142</v>
      </c>
      <c r="K144" s="8"/>
      <c r="L144" s="9"/>
      <c r="M144" s="9"/>
      <c r="N144" s="9"/>
      <c r="O144" s="45"/>
      <c r="P144" s="93"/>
      <c r="Q144" s="160"/>
      <c r="R144" s="167"/>
      <c r="S144" s="183">
        <f t="shared" si="2"/>
        <v>142</v>
      </c>
      <c r="T144" s="168" t="s">
        <v>269</v>
      </c>
      <c r="U144" s="169" t="s">
        <v>6</v>
      </c>
      <c r="V144" s="169" t="s">
        <v>30</v>
      </c>
      <c r="W144" s="170">
        <v>0</v>
      </c>
      <c r="X144" s="171">
        <v>62.919807974680232</v>
      </c>
      <c r="Y144" s="172">
        <v>0</v>
      </c>
      <c r="Z144" s="172">
        <v>0</v>
      </c>
      <c r="AA144" s="185"/>
    </row>
    <row r="145" spans="1:27" x14ac:dyDescent="0.2">
      <c r="A145" s="77">
        <v>142</v>
      </c>
      <c r="B145" s="229"/>
      <c r="C145" s="19"/>
      <c r="D145" s="19"/>
      <c r="E145" s="69"/>
      <c r="F145" s="45"/>
      <c r="G145" s="93"/>
      <c r="H145" s="160"/>
      <c r="I145" s="74"/>
      <c r="J145" s="77">
        <v>142</v>
      </c>
      <c r="K145" s="8"/>
      <c r="L145" s="9"/>
      <c r="M145" s="9"/>
      <c r="N145" s="9"/>
      <c r="O145" s="45"/>
      <c r="P145" s="93"/>
      <c r="Q145" s="160"/>
      <c r="R145" s="167"/>
      <c r="S145" s="183">
        <f t="shared" si="2"/>
        <v>143</v>
      </c>
      <c r="T145" s="168" t="s">
        <v>290</v>
      </c>
      <c r="U145" s="169" t="s">
        <v>5</v>
      </c>
      <c r="V145" s="169" t="s">
        <v>293</v>
      </c>
      <c r="W145" s="170">
        <v>0</v>
      </c>
      <c r="X145" s="171">
        <v>34.532360649231684</v>
      </c>
      <c r="Y145" s="172">
        <v>0</v>
      </c>
      <c r="Z145" s="172">
        <v>0</v>
      </c>
      <c r="AA145" s="185"/>
    </row>
    <row r="146" spans="1:27" x14ac:dyDescent="0.2">
      <c r="A146" s="77">
        <v>143</v>
      </c>
      <c r="B146" s="229"/>
      <c r="C146" s="19"/>
      <c r="D146" s="19"/>
      <c r="E146" s="69"/>
      <c r="F146" s="45"/>
      <c r="G146" s="93"/>
      <c r="H146" s="160"/>
      <c r="I146" s="74"/>
      <c r="J146" s="77">
        <v>143</v>
      </c>
      <c r="K146" s="8"/>
      <c r="L146" s="9"/>
      <c r="M146" s="9"/>
      <c r="N146" s="9"/>
      <c r="O146" s="45"/>
      <c r="P146" s="93"/>
      <c r="Q146" s="160"/>
      <c r="R146" s="167"/>
      <c r="S146" s="183">
        <f t="shared" si="2"/>
        <v>144</v>
      </c>
      <c r="T146" s="168" t="s">
        <v>277</v>
      </c>
      <c r="U146" s="169" t="s">
        <v>5</v>
      </c>
      <c r="V146" s="169" t="s">
        <v>35</v>
      </c>
      <c r="W146" s="170">
        <v>0</v>
      </c>
      <c r="X146" s="171">
        <v>45.335219554128209</v>
      </c>
      <c r="Y146" s="172">
        <v>0</v>
      </c>
      <c r="Z146" s="172">
        <v>0</v>
      </c>
      <c r="AA146" s="185"/>
    </row>
    <row r="147" spans="1:27" x14ac:dyDescent="0.2">
      <c r="A147" s="77">
        <v>144</v>
      </c>
      <c r="B147" s="229"/>
      <c r="C147" s="19"/>
      <c r="D147" s="19"/>
      <c r="E147" s="69"/>
      <c r="F147" s="45"/>
      <c r="G147" s="93"/>
      <c r="H147" s="160"/>
      <c r="I147" s="74"/>
      <c r="J147" s="77">
        <v>144</v>
      </c>
      <c r="K147" s="8"/>
      <c r="L147" s="9"/>
      <c r="M147" s="9"/>
      <c r="N147" s="9"/>
      <c r="O147" s="45"/>
      <c r="P147" s="93"/>
      <c r="Q147" s="160"/>
      <c r="R147" s="167"/>
      <c r="S147" s="183">
        <f t="shared" si="2"/>
        <v>145</v>
      </c>
      <c r="T147" s="168" t="s">
        <v>226</v>
      </c>
      <c r="U147" s="169" t="s">
        <v>6</v>
      </c>
      <c r="V147" s="169" t="s">
        <v>35</v>
      </c>
      <c r="W147" s="169">
        <v>0</v>
      </c>
      <c r="X147" s="171">
        <v>64.796181060771787</v>
      </c>
      <c r="Y147" s="171">
        <v>0</v>
      </c>
      <c r="Z147" s="172">
        <v>0</v>
      </c>
      <c r="AA147" s="185"/>
    </row>
    <row r="148" spans="1:27" x14ac:dyDescent="0.2">
      <c r="A148" s="77">
        <v>145</v>
      </c>
      <c r="B148" s="229"/>
      <c r="C148" s="19"/>
      <c r="D148" s="19"/>
      <c r="E148" s="69"/>
      <c r="F148" s="45"/>
      <c r="G148" s="93"/>
      <c r="H148" s="160"/>
      <c r="I148" s="74"/>
      <c r="J148" s="77">
        <v>145</v>
      </c>
      <c r="K148" s="8"/>
      <c r="L148" s="9"/>
      <c r="M148" s="9"/>
      <c r="N148" s="9"/>
      <c r="O148" s="45"/>
      <c r="P148" s="93"/>
      <c r="Q148" s="160"/>
      <c r="R148" s="167"/>
      <c r="S148" s="183">
        <f t="shared" si="2"/>
        <v>146</v>
      </c>
      <c r="T148" s="168" t="s">
        <v>281</v>
      </c>
      <c r="U148" s="169" t="s">
        <v>5</v>
      </c>
      <c r="V148" s="169" t="s">
        <v>48</v>
      </c>
      <c r="W148" s="170">
        <v>0</v>
      </c>
      <c r="X148" s="171">
        <v>21.487260965126186</v>
      </c>
      <c r="Y148" s="172">
        <v>0</v>
      </c>
      <c r="Z148" s="172">
        <v>0</v>
      </c>
      <c r="AA148" s="185"/>
    </row>
    <row r="149" spans="1:27" x14ac:dyDescent="0.2">
      <c r="A149" s="77">
        <v>146</v>
      </c>
      <c r="B149" s="229"/>
      <c r="C149" s="19"/>
      <c r="D149" s="19"/>
      <c r="E149" s="69"/>
      <c r="F149" s="45"/>
      <c r="G149" s="93"/>
      <c r="H149" s="160"/>
      <c r="I149" s="74"/>
      <c r="J149" s="77">
        <v>146</v>
      </c>
      <c r="K149" s="8"/>
      <c r="L149" s="9"/>
      <c r="M149" s="9"/>
      <c r="N149" s="9"/>
      <c r="O149" s="45"/>
      <c r="P149" s="93"/>
      <c r="Q149" s="160"/>
      <c r="R149" s="167"/>
      <c r="S149" s="183">
        <f t="shared" si="2"/>
        <v>147</v>
      </c>
      <c r="T149" s="168" t="s">
        <v>225</v>
      </c>
      <c r="U149" s="169" t="s">
        <v>6</v>
      </c>
      <c r="V149" s="169" t="s">
        <v>35</v>
      </c>
      <c r="W149" s="169">
        <v>0</v>
      </c>
      <c r="X149" s="171">
        <v>68.402970808446582</v>
      </c>
      <c r="Y149" s="171">
        <v>0</v>
      </c>
      <c r="Z149" s="172">
        <v>0</v>
      </c>
      <c r="AA149" s="185"/>
    </row>
    <row r="150" spans="1:27" x14ac:dyDescent="0.2">
      <c r="A150" s="77">
        <v>147</v>
      </c>
      <c r="B150" s="228"/>
      <c r="C150" s="19"/>
      <c r="D150" s="19"/>
      <c r="E150" s="69"/>
      <c r="F150" s="70"/>
      <c r="G150" s="158"/>
      <c r="H150" s="160"/>
      <c r="I150" s="74"/>
      <c r="J150" s="77">
        <v>147</v>
      </c>
      <c r="K150" s="8"/>
      <c r="L150" s="9"/>
      <c r="M150" s="9"/>
      <c r="N150" s="9"/>
      <c r="O150" s="45"/>
      <c r="P150" s="93"/>
      <c r="Q150" s="160"/>
      <c r="R150" s="167"/>
      <c r="S150" s="183">
        <f t="shared" si="2"/>
        <v>148</v>
      </c>
      <c r="T150" s="168" t="s">
        <v>256</v>
      </c>
      <c r="U150" s="169" t="s">
        <v>6</v>
      </c>
      <c r="V150" s="169" t="s">
        <v>30</v>
      </c>
      <c r="W150" s="170">
        <v>0</v>
      </c>
      <c r="X150" s="171">
        <v>52.517802433890253</v>
      </c>
      <c r="Y150" s="172">
        <v>0</v>
      </c>
      <c r="Z150" s="172">
        <v>0</v>
      </c>
      <c r="AA150" s="185"/>
    </row>
    <row r="151" spans="1:27" x14ac:dyDescent="0.2">
      <c r="A151" s="77">
        <v>148</v>
      </c>
      <c r="B151" s="229"/>
      <c r="C151" s="19"/>
      <c r="D151" s="19"/>
      <c r="E151" s="69"/>
      <c r="F151" s="70"/>
      <c r="G151" s="158"/>
      <c r="H151" s="160"/>
      <c r="I151" s="74"/>
      <c r="J151" s="77">
        <v>148</v>
      </c>
      <c r="K151" s="8"/>
      <c r="L151" s="9"/>
      <c r="M151" s="9"/>
      <c r="N151" s="9"/>
      <c r="O151" s="45"/>
      <c r="P151" s="93"/>
      <c r="Q151" s="160"/>
      <c r="R151" s="167"/>
      <c r="S151" s="183">
        <f t="shared" si="2"/>
        <v>149</v>
      </c>
      <c r="T151" s="168" t="s">
        <v>280</v>
      </c>
      <c r="U151" s="169" t="s">
        <v>5</v>
      </c>
      <c r="V151" s="169" t="s">
        <v>50</v>
      </c>
      <c r="W151" s="170">
        <v>0</v>
      </c>
      <c r="X151" s="171">
        <v>27.633060618318193</v>
      </c>
      <c r="Y151" s="172">
        <v>0</v>
      </c>
      <c r="Z151" s="172">
        <v>0</v>
      </c>
      <c r="AA151" s="185"/>
    </row>
    <row r="152" spans="1:27" x14ac:dyDescent="0.2">
      <c r="A152" s="77">
        <v>149</v>
      </c>
      <c r="B152" s="229"/>
      <c r="C152" s="19"/>
      <c r="D152" s="19"/>
      <c r="E152" s="69"/>
      <c r="F152" s="45"/>
      <c r="G152" s="93"/>
      <c r="H152" s="160"/>
      <c r="I152" s="74"/>
      <c r="J152" s="77">
        <v>149</v>
      </c>
      <c r="K152" s="8"/>
      <c r="L152" s="9"/>
      <c r="M152" s="9"/>
      <c r="N152" s="9"/>
      <c r="O152" s="45"/>
      <c r="P152" s="93"/>
      <c r="Q152" s="160"/>
      <c r="R152" s="167"/>
      <c r="S152" s="183">
        <f t="shared" si="2"/>
        <v>150</v>
      </c>
      <c r="T152" s="168" t="s">
        <v>286</v>
      </c>
      <c r="U152" s="169" t="s">
        <v>5</v>
      </c>
      <c r="V152" s="169" t="s">
        <v>32</v>
      </c>
      <c r="W152" s="169">
        <v>0</v>
      </c>
      <c r="X152" s="171">
        <v>75.155871830278642</v>
      </c>
      <c r="Y152" s="171">
        <v>0</v>
      </c>
      <c r="Z152" s="172">
        <v>0</v>
      </c>
      <c r="AA152" s="185"/>
    </row>
    <row r="153" spans="1:27" x14ac:dyDescent="0.2">
      <c r="A153" s="77">
        <v>159</v>
      </c>
      <c r="B153" s="229"/>
      <c r="C153" s="19"/>
      <c r="D153" s="19"/>
      <c r="E153" s="69"/>
      <c r="F153" s="70"/>
      <c r="G153" s="158"/>
      <c r="H153" s="160"/>
      <c r="I153" s="74"/>
      <c r="J153" s="77">
        <v>159</v>
      </c>
      <c r="K153" s="8"/>
      <c r="L153" s="9"/>
      <c r="M153" s="9"/>
      <c r="N153" s="9"/>
      <c r="O153" s="45"/>
      <c r="P153" s="93"/>
      <c r="Q153" s="160"/>
      <c r="R153" s="167"/>
      <c r="S153" s="183">
        <f t="shared" si="2"/>
        <v>151</v>
      </c>
      <c r="T153" s="168" t="s">
        <v>244</v>
      </c>
      <c r="U153" s="169" t="s">
        <v>6</v>
      </c>
      <c r="V153" s="169" t="s">
        <v>34</v>
      </c>
      <c r="W153" s="170">
        <v>0</v>
      </c>
      <c r="X153" s="171">
        <v>62.98028669114376</v>
      </c>
      <c r="Y153" s="172">
        <v>0</v>
      </c>
      <c r="Z153" s="172">
        <v>0</v>
      </c>
      <c r="AA153" s="185"/>
    </row>
    <row r="154" spans="1:27" x14ac:dyDescent="0.2">
      <c r="A154" s="77">
        <v>160</v>
      </c>
      <c r="B154" s="229"/>
      <c r="C154" s="19"/>
      <c r="D154" s="19"/>
      <c r="E154" s="69"/>
      <c r="F154" s="70"/>
      <c r="G154" s="158"/>
      <c r="H154" s="160"/>
      <c r="I154" s="74"/>
      <c r="J154" s="77">
        <v>160</v>
      </c>
      <c r="K154" s="8"/>
      <c r="L154" s="9"/>
      <c r="M154" s="9"/>
      <c r="N154" s="9"/>
      <c r="O154" s="45"/>
      <c r="P154" s="93"/>
      <c r="Q154" s="160"/>
      <c r="R154" s="167"/>
      <c r="S154" s="183">
        <f t="shared" si="2"/>
        <v>152</v>
      </c>
      <c r="T154" s="168" t="s">
        <v>279</v>
      </c>
      <c r="U154" s="169" t="s">
        <v>5</v>
      </c>
      <c r="V154" s="169" t="s">
        <v>41</v>
      </c>
      <c r="W154" s="170">
        <v>0</v>
      </c>
      <c r="X154" s="171">
        <v>28.534634631854143</v>
      </c>
      <c r="Y154" s="172">
        <v>0</v>
      </c>
      <c r="Z154" s="172">
        <v>0</v>
      </c>
      <c r="AA154" s="185"/>
    </row>
    <row r="155" spans="1:27" x14ac:dyDescent="0.2">
      <c r="A155" s="77">
        <v>161</v>
      </c>
      <c r="B155" s="228"/>
      <c r="C155" s="19"/>
      <c r="D155" s="19"/>
      <c r="E155" s="69"/>
      <c r="F155" s="70"/>
      <c r="G155" s="158"/>
      <c r="H155" s="160"/>
      <c r="I155" s="74"/>
      <c r="J155" s="77">
        <v>161</v>
      </c>
      <c r="K155" s="8"/>
      <c r="L155" s="9"/>
      <c r="M155" s="9"/>
      <c r="N155" s="9"/>
      <c r="O155" s="45"/>
      <c r="P155" s="93"/>
      <c r="Q155" s="160"/>
      <c r="R155" s="167"/>
      <c r="S155" s="183">
        <f t="shared" si="2"/>
        <v>153</v>
      </c>
      <c r="T155" s="168" t="s">
        <v>235</v>
      </c>
      <c r="U155" s="169" t="s">
        <v>5</v>
      </c>
      <c r="V155" s="169" t="s">
        <v>36</v>
      </c>
      <c r="W155" s="170">
        <v>0</v>
      </c>
      <c r="X155" s="171">
        <v>39.347281062858286</v>
      </c>
      <c r="Y155" s="172">
        <v>0</v>
      </c>
      <c r="Z155" s="172">
        <v>0</v>
      </c>
      <c r="AA155" s="185"/>
    </row>
    <row r="156" spans="1:27" x14ac:dyDescent="0.2">
      <c r="A156" s="77">
        <v>162</v>
      </c>
      <c r="B156" s="228"/>
      <c r="C156" s="19"/>
      <c r="D156" s="19"/>
      <c r="E156" s="69"/>
      <c r="F156" s="70"/>
      <c r="G156" s="158"/>
      <c r="H156" s="160"/>
      <c r="I156" s="74"/>
      <c r="J156" s="77">
        <v>162</v>
      </c>
      <c r="K156" s="8"/>
      <c r="L156" s="9"/>
      <c r="M156" s="9"/>
      <c r="N156" s="9"/>
      <c r="O156" s="45"/>
      <c r="P156" s="93"/>
      <c r="Q156" s="160"/>
      <c r="R156" s="167"/>
      <c r="S156" s="183">
        <f t="shared" si="2"/>
        <v>154</v>
      </c>
      <c r="T156" s="168" t="s">
        <v>224</v>
      </c>
      <c r="U156" s="169" t="s">
        <v>5</v>
      </c>
      <c r="V156" s="169" t="s">
        <v>43</v>
      </c>
      <c r="W156" s="170">
        <v>0</v>
      </c>
      <c r="X156" s="171">
        <v>48.681493877940532</v>
      </c>
      <c r="Y156" s="172">
        <v>0</v>
      </c>
      <c r="Z156" s="172">
        <v>0</v>
      </c>
      <c r="AA156" s="185"/>
    </row>
    <row r="157" spans="1:27" x14ac:dyDescent="0.2">
      <c r="A157" s="77">
        <v>163</v>
      </c>
      <c r="B157" s="228"/>
      <c r="C157" s="19"/>
      <c r="D157" s="19"/>
      <c r="E157" s="69"/>
      <c r="F157" s="70"/>
      <c r="G157" s="158"/>
      <c r="H157" s="160"/>
      <c r="I157" s="74"/>
      <c r="J157" s="77">
        <v>163</v>
      </c>
      <c r="K157" s="8"/>
      <c r="L157" s="9"/>
      <c r="M157" s="9"/>
      <c r="N157" s="9"/>
      <c r="O157" s="45"/>
      <c r="P157" s="93"/>
      <c r="Q157" s="160"/>
      <c r="R157" s="167"/>
      <c r="S157" s="183">
        <f t="shared" si="2"/>
        <v>155</v>
      </c>
      <c r="T157" s="168" t="s">
        <v>261</v>
      </c>
      <c r="U157" s="169" t="s">
        <v>5</v>
      </c>
      <c r="V157" s="169" t="s">
        <v>43</v>
      </c>
      <c r="W157" s="170">
        <v>0</v>
      </c>
      <c r="X157" s="171">
        <v>50.140613405380748</v>
      </c>
      <c r="Y157" s="172">
        <v>0</v>
      </c>
      <c r="Z157" s="172">
        <v>0</v>
      </c>
      <c r="AA157" s="185"/>
    </row>
    <row r="158" spans="1:27" x14ac:dyDescent="0.2">
      <c r="A158" s="77">
        <v>164</v>
      </c>
      <c r="B158" s="228"/>
      <c r="C158" s="19"/>
      <c r="D158" s="19"/>
      <c r="E158" s="69"/>
      <c r="F158" s="70"/>
      <c r="G158" s="158"/>
      <c r="H158" s="160"/>
      <c r="I158" s="74"/>
      <c r="J158" s="77">
        <v>164</v>
      </c>
      <c r="K158" s="8"/>
      <c r="L158" s="9"/>
      <c r="M158" s="9"/>
      <c r="N158" s="9"/>
      <c r="O158" s="45"/>
      <c r="P158" s="93"/>
      <c r="Q158" s="160"/>
      <c r="R158" s="167"/>
      <c r="S158" s="183">
        <f t="shared" si="2"/>
        <v>156</v>
      </c>
      <c r="T158" s="168" t="s">
        <v>273</v>
      </c>
      <c r="U158" s="169" t="s">
        <v>5</v>
      </c>
      <c r="V158" s="169" t="s">
        <v>35</v>
      </c>
      <c r="W158" s="170">
        <v>0</v>
      </c>
      <c r="X158" s="171">
        <v>58.767473719751187</v>
      </c>
      <c r="Y158" s="172">
        <v>0</v>
      </c>
      <c r="Z158" s="172">
        <v>0</v>
      </c>
      <c r="AA158" s="185"/>
    </row>
    <row r="159" spans="1:27" x14ac:dyDescent="0.2">
      <c r="A159" s="77">
        <v>165</v>
      </c>
      <c r="B159" s="229"/>
      <c r="C159" s="19"/>
      <c r="D159" s="19"/>
      <c r="E159" s="69"/>
      <c r="F159" s="70"/>
      <c r="G159" s="158"/>
      <c r="H159" s="160"/>
      <c r="I159" s="74"/>
      <c r="J159" s="77">
        <v>165</v>
      </c>
      <c r="K159" s="8"/>
      <c r="L159" s="9"/>
      <c r="M159" s="9"/>
      <c r="N159" s="9"/>
      <c r="O159" s="45"/>
      <c r="P159" s="93"/>
      <c r="Q159" s="160"/>
      <c r="R159" s="167"/>
      <c r="S159" s="183">
        <f t="shared" si="2"/>
        <v>157</v>
      </c>
      <c r="T159" s="168" t="s">
        <v>222</v>
      </c>
      <c r="U159" s="169" t="s">
        <v>6</v>
      </c>
      <c r="V159" s="169" t="s">
        <v>33</v>
      </c>
      <c r="W159" s="170">
        <v>0</v>
      </c>
      <c r="X159" s="171">
        <v>75.440297331598515</v>
      </c>
      <c r="Y159" s="172">
        <v>0</v>
      </c>
      <c r="Z159" s="172">
        <v>0</v>
      </c>
      <c r="AA159" s="185"/>
    </row>
    <row r="160" spans="1:27" x14ac:dyDescent="0.2">
      <c r="A160" s="77">
        <v>166</v>
      </c>
      <c r="B160" s="229"/>
      <c r="C160" s="19"/>
      <c r="D160" s="19"/>
      <c r="E160" s="69"/>
      <c r="F160" s="70"/>
      <c r="G160" s="158"/>
      <c r="H160" s="160"/>
      <c r="I160" s="74"/>
      <c r="J160" s="77">
        <v>166</v>
      </c>
      <c r="K160" s="8"/>
      <c r="L160" s="9"/>
      <c r="M160" s="9"/>
      <c r="N160" s="9"/>
      <c r="O160" s="45"/>
      <c r="P160" s="93"/>
      <c r="Q160" s="160"/>
      <c r="R160" s="167"/>
      <c r="S160" s="183">
        <f t="shared" si="2"/>
        <v>158</v>
      </c>
      <c r="T160" s="168" t="s">
        <v>262</v>
      </c>
      <c r="U160" s="169" t="s">
        <v>5</v>
      </c>
      <c r="V160" s="169" t="s">
        <v>35</v>
      </c>
      <c r="W160" s="170">
        <v>0</v>
      </c>
      <c r="X160" s="171">
        <v>47.105102358879876</v>
      </c>
      <c r="Y160" s="172">
        <v>0</v>
      </c>
      <c r="Z160" s="172">
        <v>0</v>
      </c>
      <c r="AA160" s="185"/>
    </row>
    <row r="161" spans="1:29" x14ac:dyDescent="0.2">
      <c r="A161" s="77">
        <v>167</v>
      </c>
      <c r="B161" s="229"/>
      <c r="C161" s="19"/>
      <c r="D161" s="19"/>
      <c r="E161" s="69"/>
      <c r="F161" s="45"/>
      <c r="G161" s="93"/>
      <c r="H161" s="160"/>
      <c r="I161" s="74"/>
      <c r="J161" s="77">
        <v>167</v>
      </c>
      <c r="K161" s="8"/>
      <c r="L161" s="9"/>
      <c r="M161" s="9"/>
      <c r="N161" s="9"/>
      <c r="O161" s="45"/>
      <c r="P161" s="93"/>
      <c r="Q161" s="160"/>
      <c r="R161" s="167"/>
      <c r="S161" s="183">
        <f t="shared" si="2"/>
        <v>159</v>
      </c>
      <c r="T161" s="168" t="s">
        <v>260</v>
      </c>
      <c r="U161" s="169" t="s">
        <v>5</v>
      </c>
      <c r="V161" s="169" t="s">
        <v>31</v>
      </c>
      <c r="W161" s="169">
        <v>0</v>
      </c>
      <c r="X161" s="171">
        <v>55.143951465197219</v>
      </c>
      <c r="Y161" s="171">
        <v>0</v>
      </c>
      <c r="Z161" s="172">
        <v>0</v>
      </c>
      <c r="AA161" s="185"/>
    </row>
    <row r="162" spans="1:29" x14ac:dyDescent="0.2">
      <c r="A162" s="77">
        <v>168</v>
      </c>
      <c r="B162" s="229"/>
      <c r="C162" s="19"/>
      <c r="D162" s="19"/>
      <c r="E162" s="69"/>
      <c r="F162" s="70"/>
      <c r="G162" s="158"/>
      <c r="H162" s="160"/>
      <c r="I162" s="74"/>
      <c r="J162" s="77">
        <v>168</v>
      </c>
      <c r="K162" s="8"/>
      <c r="L162" s="9"/>
      <c r="M162" s="9"/>
      <c r="N162" s="9"/>
      <c r="O162" s="45"/>
      <c r="P162" s="93"/>
      <c r="Q162" s="160"/>
      <c r="R162" s="167"/>
      <c r="S162" s="183">
        <f t="shared" si="2"/>
        <v>160</v>
      </c>
      <c r="T162" s="168" t="s">
        <v>251</v>
      </c>
      <c r="U162" s="169" t="s">
        <v>6</v>
      </c>
      <c r="V162" s="169" t="s">
        <v>30</v>
      </c>
      <c r="W162" s="170">
        <v>0</v>
      </c>
      <c r="X162" s="171">
        <v>69.575196820506108</v>
      </c>
      <c r="Y162" s="172">
        <v>0</v>
      </c>
      <c r="Z162" s="172">
        <v>0</v>
      </c>
      <c r="AA162" s="185"/>
    </row>
    <row r="163" spans="1:29" x14ac:dyDescent="0.2">
      <c r="A163" s="77">
        <v>169</v>
      </c>
      <c r="B163" s="228"/>
      <c r="C163" s="19"/>
      <c r="D163" s="19"/>
      <c r="E163" s="69"/>
      <c r="F163" s="70"/>
      <c r="G163" s="158"/>
      <c r="H163" s="160"/>
      <c r="I163" s="74"/>
      <c r="J163" s="77">
        <v>169</v>
      </c>
      <c r="K163" s="8"/>
      <c r="L163" s="9"/>
      <c r="M163" s="9"/>
      <c r="N163" s="9"/>
      <c r="O163" s="45"/>
      <c r="P163" s="93"/>
      <c r="Q163" s="160"/>
      <c r="R163" s="167"/>
      <c r="S163" s="183">
        <f t="shared" si="2"/>
        <v>161</v>
      </c>
      <c r="T163" s="168" t="s">
        <v>291</v>
      </c>
      <c r="U163" s="169" t="s">
        <v>5</v>
      </c>
      <c r="V163" s="169" t="s">
        <v>293</v>
      </c>
      <c r="W163" s="170">
        <v>0</v>
      </c>
      <c r="X163" s="171">
        <v>33.448251282704831</v>
      </c>
      <c r="Y163" s="172">
        <v>0</v>
      </c>
      <c r="Z163" s="172">
        <v>0</v>
      </c>
      <c r="AA163" s="185"/>
    </row>
    <row r="164" spans="1:29" x14ac:dyDescent="0.2">
      <c r="A164" s="77">
        <v>170</v>
      </c>
      <c r="B164" s="229"/>
      <c r="C164" s="19"/>
      <c r="D164" s="19"/>
      <c r="E164" s="69"/>
      <c r="F164" s="70"/>
      <c r="G164" s="158"/>
      <c r="H164" s="160"/>
      <c r="I164" s="74"/>
      <c r="J164" s="77">
        <v>170</v>
      </c>
      <c r="K164" s="8"/>
      <c r="L164" s="9"/>
      <c r="M164" s="9"/>
      <c r="N164" s="9"/>
      <c r="O164" s="45"/>
      <c r="P164" s="93"/>
      <c r="Q164" s="160"/>
      <c r="R164" s="167"/>
      <c r="S164" s="183">
        <f t="shared" si="2"/>
        <v>162</v>
      </c>
      <c r="T164" s="168" t="s">
        <v>254</v>
      </c>
      <c r="U164" s="169" t="s">
        <v>6</v>
      </c>
      <c r="V164" s="169" t="s">
        <v>30</v>
      </c>
      <c r="W164" s="170">
        <v>0</v>
      </c>
      <c r="X164" s="171">
        <v>60.589262918381422</v>
      </c>
      <c r="Y164" s="172">
        <v>0</v>
      </c>
      <c r="Z164" s="172">
        <v>0</v>
      </c>
      <c r="AA164" s="185"/>
    </row>
    <row r="165" spans="1:29" x14ac:dyDescent="0.2">
      <c r="A165" s="77">
        <v>171</v>
      </c>
      <c r="B165" s="228"/>
      <c r="C165" s="19"/>
      <c r="D165" s="19"/>
      <c r="E165" s="69"/>
      <c r="F165" s="70"/>
      <c r="G165" s="158"/>
      <c r="H165" s="160"/>
      <c r="I165" s="74"/>
      <c r="J165" s="77">
        <v>171</v>
      </c>
      <c r="K165" s="8"/>
      <c r="L165" s="9"/>
      <c r="M165" s="9"/>
      <c r="N165" s="9"/>
      <c r="O165" s="45"/>
      <c r="P165" s="93"/>
      <c r="Q165" s="160"/>
      <c r="R165" s="167"/>
      <c r="S165" s="183">
        <f t="shared" si="2"/>
        <v>163</v>
      </c>
      <c r="T165" s="168" t="s">
        <v>274</v>
      </c>
      <c r="U165" s="169" t="s">
        <v>5</v>
      </c>
      <c r="V165" s="169" t="s">
        <v>43</v>
      </c>
      <c r="W165" s="170">
        <v>0</v>
      </c>
      <c r="X165" s="171">
        <v>56.188590898275621</v>
      </c>
      <c r="Y165" s="172">
        <v>0</v>
      </c>
      <c r="Z165" s="172">
        <v>0</v>
      </c>
      <c r="AA165" s="185"/>
    </row>
    <row r="166" spans="1:29" x14ac:dyDescent="0.2">
      <c r="A166" s="77">
        <v>172</v>
      </c>
      <c r="B166" s="229"/>
      <c r="C166" s="19"/>
      <c r="D166" s="19"/>
      <c r="E166" s="69"/>
      <c r="F166" s="70"/>
      <c r="G166" s="158"/>
      <c r="H166" s="160"/>
      <c r="I166" s="74"/>
      <c r="J166" s="77">
        <v>172</v>
      </c>
      <c r="K166" s="8"/>
      <c r="L166" s="9"/>
      <c r="M166" s="9"/>
      <c r="N166" s="9"/>
      <c r="O166" s="45"/>
      <c r="P166" s="93"/>
      <c r="Q166" s="160"/>
      <c r="R166" s="167"/>
      <c r="S166" s="183">
        <f t="shared" si="2"/>
        <v>164</v>
      </c>
      <c r="T166" s="168" t="s">
        <v>220</v>
      </c>
      <c r="U166" s="169" t="s">
        <v>5</v>
      </c>
      <c r="V166" s="169" t="s">
        <v>37</v>
      </c>
      <c r="W166" s="170">
        <v>0</v>
      </c>
      <c r="X166" s="171">
        <v>40.612356461444939</v>
      </c>
      <c r="Y166" s="172">
        <v>0</v>
      </c>
      <c r="Z166" s="172">
        <v>0</v>
      </c>
      <c r="AA166" s="185"/>
    </row>
    <row r="167" spans="1:29" x14ac:dyDescent="0.2">
      <c r="A167" s="77">
        <v>173</v>
      </c>
      <c r="B167" s="229"/>
      <c r="C167" s="19"/>
      <c r="D167" s="19"/>
      <c r="E167" s="69"/>
      <c r="F167" s="70"/>
      <c r="G167" s="158"/>
      <c r="H167" s="160"/>
      <c r="I167" s="74"/>
      <c r="J167" s="77">
        <v>173</v>
      </c>
      <c r="K167" s="8"/>
      <c r="L167" s="9"/>
      <c r="M167" s="9"/>
      <c r="N167" s="9"/>
      <c r="O167" s="45"/>
      <c r="P167" s="93"/>
      <c r="Q167" s="160"/>
      <c r="R167" s="167"/>
      <c r="S167" s="183"/>
      <c r="T167" s="168"/>
      <c r="U167" s="169"/>
      <c r="V167" s="169"/>
      <c r="W167" s="170"/>
      <c r="X167" s="171"/>
      <c r="Y167" s="172"/>
      <c r="Z167" s="172"/>
      <c r="AA167" s="185"/>
      <c r="AC167">
        <f>COUNTIF(X3:X139,0)</f>
        <v>85</v>
      </c>
    </row>
    <row r="168" spans="1:29" x14ac:dyDescent="0.2">
      <c r="A168" s="77">
        <v>174</v>
      </c>
      <c r="B168" s="229"/>
      <c r="C168" s="19"/>
      <c r="D168" s="19"/>
      <c r="E168" s="69"/>
      <c r="F168" s="70"/>
      <c r="G168" s="158"/>
      <c r="H168" s="160"/>
      <c r="I168" s="74"/>
      <c r="J168" s="77">
        <v>174</v>
      </c>
      <c r="K168" s="8"/>
      <c r="L168" s="9"/>
      <c r="M168" s="9"/>
      <c r="N168" s="9"/>
      <c r="O168" s="45"/>
      <c r="P168" s="93"/>
      <c r="Q168" s="160"/>
      <c r="R168" s="167"/>
      <c r="S168" s="183"/>
      <c r="T168" s="168"/>
      <c r="U168" s="169"/>
      <c r="V168" s="169"/>
      <c r="W168" s="170"/>
      <c r="X168" s="171"/>
      <c r="Y168" s="172"/>
      <c r="Z168" s="172"/>
      <c r="AA168" s="185"/>
      <c r="AC168">
        <v>26</v>
      </c>
    </row>
    <row r="169" spans="1:29" x14ac:dyDescent="0.2">
      <c r="A169" s="77">
        <v>175</v>
      </c>
      <c r="B169" s="229"/>
      <c r="C169" s="19"/>
      <c r="D169" s="19"/>
      <c r="E169" s="69"/>
      <c r="F169" s="70"/>
      <c r="G169" s="158"/>
      <c r="H169" s="160"/>
      <c r="I169" s="74"/>
      <c r="J169" s="77">
        <v>175</v>
      </c>
      <c r="K169" s="8"/>
      <c r="L169" s="9"/>
      <c r="M169" s="9"/>
      <c r="N169" s="9"/>
      <c r="O169" s="45"/>
      <c r="P169" s="93"/>
      <c r="Q169" s="160"/>
      <c r="R169" s="167"/>
      <c r="S169" s="183"/>
      <c r="T169" s="168"/>
      <c r="U169" s="169"/>
      <c r="V169" s="169"/>
      <c r="W169" s="170"/>
      <c r="X169" s="171"/>
      <c r="Y169" s="172"/>
      <c r="Z169" s="172"/>
      <c r="AA169" s="185"/>
    </row>
    <row r="170" spans="1:29" x14ac:dyDescent="0.2">
      <c r="A170" s="77">
        <v>176</v>
      </c>
      <c r="B170" s="229"/>
      <c r="C170" s="19"/>
      <c r="D170" s="19"/>
      <c r="E170" s="69"/>
      <c r="F170" s="70"/>
      <c r="G170" s="158"/>
      <c r="H170" s="160"/>
      <c r="I170" s="74"/>
      <c r="J170" s="77">
        <v>176</v>
      </c>
      <c r="K170" s="8"/>
      <c r="L170" s="9"/>
      <c r="M170" s="9"/>
      <c r="N170" s="9"/>
      <c r="O170" s="45"/>
      <c r="P170" s="93"/>
      <c r="Q170" s="160"/>
      <c r="R170" s="167"/>
      <c r="S170" s="183"/>
      <c r="T170" s="168"/>
      <c r="U170" s="169"/>
      <c r="V170" s="169"/>
      <c r="W170" s="170"/>
      <c r="X170" s="171"/>
      <c r="Y170" s="172"/>
      <c r="Z170" s="172"/>
      <c r="AA170" s="185"/>
    </row>
    <row r="171" spans="1:29" x14ac:dyDescent="0.2">
      <c r="A171" s="77">
        <v>177</v>
      </c>
      <c r="B171" s="229"/>
      <c r="C171" s="19"/>
      <c r="D171" s="19"/>
      <c r="E171" s="69"/>
      <c r="F171" s="70"/>
      <c r="G171" s="158"/>
      <c r="H171" s="160"/>
      <c r="I171" s="74"/>
      <c r="J171" s="77">
        <v>177</v>
      </c>
      <c r="K171" s="8"/>
      <c r="L171" s="9"/>
      <c r="M171" s="9"/>
      <c r="N171" s="9"/>
      <c r="O171" s="45"/>
      <c r="P171" s="93"/>
      <c r="Q171" s="160"/>
      <c r="R171" s="167"/>
      <c r="S171" s="183"/>
      <c r="T171" s="168"/>
      <c r="U171" s="169"/>
      <c r="V171" s="169"/>
      <c r="W171" s="170"/>
      <c r="X171" s="171"/>
      <c r="Y171" s="172"/>
      <c r="Z171" s="172"/>
      <c r="AA171" s="185"/>
    </row>
    <row r="172" spans="1:29" x14ac:dyDescent="0.2">
      <c r="A172" s="77">
        <v>178</v>
      </c>
      <c r="B172" s="229"/>
      <c r="C172" s="19"/>
      <c r="D172" s="19"/>
      <c r="E172" s="69"/>
      <c r="F172" s="70"/>
      <c r="G172" s="158"/>
      <c r="H172" s="160"/>
      <c r="I172" s="74"/>
      <c r="J172" s="77">
        <v>178</v>
      </c>
      <c r="K172" s="8"/>
      <c r="L172" s="9"/>
      <c r="M172" s="9"/>
      <c r="N172" s="9"/>
      <c r="O172" s="45"/>
      <c r="P172" s="93"/>
      <c r="Q172" s="160"/>
      <c r="R172" s="167"/>
      <c r="S172" s="183"/>
      <c r="T172" s="168"/>
      <c r="U172" s="169"/>
      <c r="V172" s="169"/>
      <c r="W172" s="170"/>
      <c r="X172" s="171"/>
      <c r="Y172" s="172"/>
      <c r="Z172" s="172"/>
      <c r="AA172" s="185"/>
    </row>
    <row r="173" spans="1:29" x14ac:dyDescent="0.2">
      <c r="A173" s="77">
        <v>179</v>
      </c>
      <c r="B173" s="229"/>
      <c r="C173" s="19"/>
      <c r="D173" s="19"/>
      <c r="E173" s="69"/>
      <c r="F173" s="70"/>
      <c r="G173" s="158"/>
      <c r="H173" s="160"/>
      <c r="I173" s="74"/>
      <c r="J173" s="77">
        <v>179</v>
      </c>
      <c r="K173" s="8"/>
      <c r="L173" s="9"/>
      <c r="M173" s="9"/>
      <c r="N173" s="9"/>
      <c r="O173" s="45"/>
      <c r="P173" s="93"/>
      <c r="Q173" s="160"/>
      <c r="R173" s="167"/>
      <c r="S173" s="183"/>
      <c r="T173" s="168"/>
      <c r="U173" s="169"/>
      <c r="V173" s="169"/>
      <c r="W173" s="170"/>
      <c r="X173" s="171"/>
      <c r="Y173" s="172"/>
      <c r="Z173" s="172"/>
      <c r="AA173" s="185"/>
    </row>
    <row r="174" spans="1:29" x14ac:dyDescent="0.2">
      <c r="A174" s="77">
        <v>180</v>
      </c>
      <c r="B174" s="228"/>
      <c r="C174" s="19"/>
      <c r="D174" s="19"/>
      <c r="E174" s="69"/>
      <c r="F174" s="70"/>
      <c r="G174" s="158"/>
      <c r="H174" s="160"/>
      <c r="I174" s="74"/>
      <c r="J174" s="77">
        <v>180</v>
      </c>
      <c r="K174" s="8"/>
      <c r="L174" s="9"/>
      <c r="M174" s="9"/>
      <c r="N174" s="9"/>
      <c r="O174" s="45"/>
      <c r="P174" s="93"/>
      <c r="Q174" s="160"/>
      <c r="R174" s="167"/>
      <c r="S174" s="183"/>
      <c r="T174" s="168"/>
      <c r="U174" s="169"/>
      <c r="V174" s="169"/>
      <c r="W174" s="170"/>
      <c r="X174" s="171"/>
      <c r="Y174" s="172"/>
      <c r="Z174" s="172"/>
      <c r="AA174" s="185"/>
    </row>
    <row r="175" spans="1:29" x14ac:dyDescent="0.2">
      <c r="A175" s="77">
        <v>181</v>
      </c>
      <c r="B175" s="228"/>
      <c r="C175" s="19"/>
      <c r="D175" s="19"/>
      <c r="E175" s="69"/>
      <c r="F175" s="70"/>
      <c r="G175" s="158"/>
      <c r="H175" s="160"/>
      <c r="I175" s="74"/>
      <c r="J175" s="77">
        <v>181</v>
      </c>
      <c r="K175" s="8"/>
      <c r="L175" s="9"/>
      <c r="M175" s="9"/>
      <c r="N175" s="9"/>
      <c r="O175" s="45"/>
      <c r="P175" s="93"/>
      <c r="Q175" s="160"/>
      <c r="R175" s="167"/>
      <c r="S175" s="183"/>
      <c r="T175" s="168"/>
      <c r="U175" s="169"/>
      <c r="V175" s="169"/>
      <c r="W175" s="170"/>
      <c r="X175" s="171"/>
      <c r="Y175" s="172"/>
      <c r="Z175" s="172"/>
      <c r="AA175" s="185"/>
    </row>
    <row r="176" spans="1:29" x14ac:dyDescent="0.2">
      <c r="A176" s="77">
        <v>182</v>
      </c>
      <c r="B176" s="228"/>
      <c r="C176" s="19"/>
      <c r="D176" s="19"/>
      <c r="E176" s="69"/>
      <c r="F176" s="70"/>
      <c r="G176" s="158"/>
      <c r="H176" s="160"/>
      <c r="I176" s="74"/>
      <c r="J176" s="77">
        <v>182</v>
      </c>
      <c r="K176" s="8"/>
      <c r="L176" s="9"/>
      <c r="M176" s="9"/>
      <c r="N176" s="9"/>
      <c r="O176" s="45"/>
      <c r="P176" s="93"/>
      <c r="Q176" s="160"/>
      <c r="R176" s="167"/>
      <c r="S176" s="183"/>
      <c r="T176" s="168"/>
      <c r="U176" s="169"/>
      <c r="V176" s="169"/>
      <c r="W176" s="170"/>
      <c r="X176" s="171"/>
      <c r="Y176" s="172"/>
      <c r="Z176" s="172"/>
      <c r="AA176" s="185"/>
    </row>
    <row r="177" spans="1:27" x14ac:dyDescent="0.2">
      <c r="A177" s="77">
        <v>183</v>
      </c>
      <c r="B177" s="231"/>
      <c r="C177" s="19"/>
      <c r="D177" s="19"/>
      <c r="E177" s="69"/>
      <c r="F177" s="70"/>
      <c r="G177" s="158"/>
      <c r="H177" s="160"/>
      <c r="I177" s="74"/>
      <c r="J177" s="77">
        <v>183</v>
      </c>
      <c r="K177" s="8"/>
      <c r="L177" s="9"/>
      <c r="M177" s="9"/>
      <c r="N177" s="9"/>
      <c r="O177" s="45"/>
      <c r="P177" s="93"/>
      <c r="Q177" s="160"/>
      <c r="R177" s="167"/>
      <c r="S177" s="183"/>
      <c r="T177" s="168"/>
      <c r="U177" s="169"/>
      <c r="V177" s="169"/>
      <c r="W177" s="170"/>
      <c r="X177" s="171"/>
      <c r="Y177" s="172"/>
      <c r="Z177" s="172"/>
      <c r="AA177" s="185"/>
    </row>
    <row r="178" spans="1:27" x14ac:dyDescent="0.2">
      <c r="A178" s="77">
        <v>184</v>
      </c>
      <c r="B178" s="231"/>
      <c r="C178" s="19"/>
      <c r="D178" s="19"/>
      <c r="E178" s="69"/>
      <c r="F178" s="70"/>
      <c r="G178" s="158"/>
      <c r="H178" s="160"/>
      <c r="I178" s="74"/>
      <c r="J178" s="77">
        <v>184</v>
      </c>
      <c r="K178" s="8"/>
      <c r="L178" s="9"/>
      <c r="M178" s="9"/>
      <c r="N178" s="9"/>
      <c r="O178" s="45"/>
      <c r="P178" s="93"/>
      <c r="Q178" s="160"/>
      <c r="R178" s="167"/>
      <c r="S178" s="183"/>
      <c r="T178" s="168"/>
      <c r="U178" s="169"/>
      <c r="V178" s="169"/>
      <c r="W178" s="170"/>
      <c r="X178" s="171"/>
      <c r="Y178" s="172"/>
      <c r="Z178" s="172"/>
      <c r="AA178" s="185"/>
    </row>
    <row r="179" spans="1:27" x14ac:dyDescent="0.2">
      <c r="A179" s="77">
        <v>185</v>
      </c>
      <c r="B179" s="231"/>
      <c r="C179" s="19"/>
      <c r="D179" s="19"/>
      <c r="E179" s="69"/>
      <c r="F179" s="70"/>
      <c r="G179" s="158"/>
      <c r="H179" s="160"/>
      <c r="I179" s="74"/>
      <c r="J179" s="77">
        <v>185</v>
      </c>
      <c r="K179" s="8"/>
      <c r="L179" s="9"/>
      <c r="M179" s="9"/>
      <c r="N179" s="9"/>
      <c r="O179" s="45"/>
      <c r="P179" s="93"/>
      <c r="Q179" s="160"/>
      <c r="R179" s="167"/>
      <c r="S179" s="183"/>
      <c r="T179" s="168"/>
      <c r="U179" s="169"/>
      <c r="V179" s="169"/>
      <c r="W179" s="170"/>
      <c r="X179" s="171"/>
      <c r="Y179" s="172"/>
      <c r="Z179" s="172"/>
      <c r="AA179" s="185"/>
    </row>
    <row r="180" spans="1:27" x14ac:dyDescent="0.2">
      <c r="A180" s="77">
        <v>186</v>
      </c>
      <c r="B180" s="231"/>
      <c r="C180" s="19"/>
      <c r="D180" s="19"/>
      <c r="E180" s="69"/>
      <c r="F180" s="70"/>
      <c r="G180" s="158"/>
      <c r="H180" s="160"/>
      <c r="I180" s="74"/>
      <c r="J180" s="77">
        <v>186</v>
      </c>
      <c r="K180" s="8"/>
      <c r="L180" s="9"/>
      <c r="M180" s="9"/>
      <c r="N180" s="9"/>
      <c r="O180" s="45"/>
      <c r="P180" s="93"/>
      <c r="Q180" s="160"/>
      <c r="R180" s="167"/>
      <c r="S180" s="183"/>
      <c r="T180" s="168"/>
      <c r="U180" s="169"/>
      <c r="V180" s="169"/>
      <c r="W180" s="170"/>
      <c r="X180" s="171"/>
      <c r="Y180" s="172"/>
      <c r="Z180" s="172"/>
      <c r="AA180" s="185"/>
    </row>
    <row r="181" spans="1:27" x14ac:dyDescent="0.2">
      <c r="A181" s="77">
        <v>187</v>
      </c>
      <c r="B181" s="231"/>
      <c r="C181" s="19"/>
      <c r="D181" s="19"/>
      <c r="E181" s="69"/>
      <c r="F181" s="70"/>
      <c r="G181" s="158"/>
      <c r="H181" s="160"/>
      <c r="I181" s="74"/>
      <c r="J181" s="77">
        <v>187</v>
      </c>
      <c r="K181" s="8"/>
      <c r="L181" s="9"/>
      <c r="M181" s="9"/>
      <c r="N181" s="9"/>
      <c r="O181" s="45"/>
      <c r="P181" s="93"/>
      <c r="Q181" s="160"/>
      <c r="R181" s="167"/>
      <c r="S181" s="183"/>
      <c r="T181" s="168"/>
      <c r="U181" s="169"/>
      <c r="V181" s="169"/>
      <c r="W181" s="170"/>
      <c r="X181" s="171"/>
      <c r="Y181" s="172"/>
      <c r="Z181" s="172"/>
      <c r="AA181" s="185"/>
    </row>
    <row r="182" spans="1:27" x14ac:dyDescent="0.2">
      <c r="A182" s="77">
        <v>188</v>
      </c>
      <c r="B182" s="231"/>
      <c r="C182" s="19"/>
      <c r="D182" s="19"/>
      <c r="E182" s="69"/>
      <c r="F182" s="70"/>
      <c r="G182" s="158"/>
      <c r="H182" s="160"/>
      <c r="I182" s="74"/>
      <c r="J182" s="77">
        <v>188</v>
      </c>
      <c r="K182" s="8"/>
      <c r="L182" s="9"/>
      <c r="M182" s="9"/>
      <c r="N182" s="9"/>
      <c r="O182" s="45"/>
      <c r="P182" s="93"/>
      <c r="Q182" s="160"/>
      <c r="R182" s="167"/>
      <c r="S182" s="183"/>
      <c r="T182" s="168"/>
      <c r="U182" s="169"/>
      <c r="V182" s="169"/>
      <c r="W182" s="170"/>
      <c r="X182" s="171"/>
      <c r="Y182" s="172"/>
      <c r="Z182" s="172"/>
      <c r="AA182" s="185"/>
    </row>
    <row r="183" spans="1:27" x14ac:dyDescent="0.2">
      <c r="A183" s="77">
        <v>189</v>
      </c>
      <c r="B183" s="231"/>
      <c r="C183" s="19"/>
      <c r="D183" s="19"/>
      <c r="E183" s="69"/>
      <c r="F183" s="70"/>
      <c r="G183" s="158"/>
      <c r="H183" s="160"/>
      <c r="I183" s="74"/>
      <c r="J183" s="77">
        <v>189</v>
      </c>
      <c r="K183" s="8"/>
      <c r="L183" s="9"/>
      <c r="M183" s="9"/>
      <c r="N183" s="9"/>
      <c r="O183" s="45"/>
      <c r="P183" s="93"/>
      <c r="Q183" s="160"/>
      <c r="R183" s="167"/>
      <c r="S183" s="183"/>
      <c r="T183" s="168"/>
      <c r="U183" s="169"/>
      <c r="V183" s="169"/>
      <c r="W183" s="170"/>
      <c r="X183" s="171"/>
      <c r="Y183" s="172"/>
      <c r="Z183" s="172"/>
      <c r="AA183" s="185"/>
    </row>
    <row r="184" spans="1:27" x14ac:dyDescent="0.2">
      <c r="A184" s="77">
        <v>190</v>
      </c>
      <c r="B184" s="231"/>
      <c r="C184" s="19"/>
      <c r="D184" s="19"/>
      <c r="E184" s="69"/>
      <c r="F184" s="70"/>
      <c r="G184" s="158"/>
      <c r="H184" s="160"/>
      <c r="I184" s="74"/>
      <c r="J184" s="77">
        <v>190</v>
      </c>
      <c r="K184" s="8"/>
      <c r="L184" s="9"/>
      <c r="M184" s="9"/>
      <c r="N184" s="9"/>
      <c r="O184" s="45"/>
      <c r="P184" s="93"/>
      <c r="Q184" s="160"/>
      <c r="R184" s="167"/>
      <c r="S184" s="183"/>
      <c r="T184" s="168"/>
      <c r="U184" s="169"/>
      <c r="V184" s="169"/>
      <c r="W184" s="170"/>
      <c r="X184" s="171"/>
      <c r="Y184" s="172"/>
      <c r="Z184" s="172"/>
      <c r="AA184" s="185"/>
    </row>
    <row r="185" spans="1:27" x14ac:dyDescent="0.2">
      <c r="A185" s="77">
        <v>191</v>
      </c>
      <c r="B185" s="231"/>
      <c r="C185" s="19"/>
      <c r="D185" s="19"/>
      <c r="E185" s="69"/>
      <c r="F185" s="70"/>
      <c r="G185" s="158"/>
      <c r="H185" s="160"/>
      <c r="I185" s="74"/>
      <c r="J185" s="77">
        <v>191</v>
      </c>
      <c r="K185" s="8"/>
      <c r="L185" s="9"/>
      <c r="M185" s="9"/>
      <c r="N185" s="9"/>
      <c r="O185" s="45"/>
      <c r="P185" s="93"/>
      <c r="Q185" s="160"/>
      <c r="R185" s="167"/>
      <c r="S185" s="183"/>
      <c r="T185" s="168"/>
      <c r="U185" s="169"/>
      <c r="V185" s="169"/>
      <c r="W185" s="170"/>
      <c r="X185" s="171"/>
      <c r="Y185" s="172"/>
      <c r="Z185" s="172"/>
      <c r="AA185" s="185"/>
    </row>
    <row r="186" spans="1:27" x14ac:dyDescent="0.2">
      <c r="A186" s="77">
        <v>192</v>
      </c>
      <c r="B186" s="231"/>
      <c r="C186" s="19"/>
      <c r="D186" s="19"/>
      <c r="E186" s="69"/>
      <c r="F186" s="70"/>
      <c r="G186" s="158"/>
      <c r="H186" s="160"/>
      <c r="I186" s="74"/>
      <c r="J186" s="77">
        <v>192</v>
      </c>
      <c r="K186" s="8"/>
      <c r="L186" s="9"/>
      <c r="M186" s="9"/>
      <c r="N186" s="9"/>
      <c r="O186" s="45"/>
      <c r="P186" s="93"/>
      <c r="Q186" s="160"/>
      <c r="R186" s="167"/>
      <c r="S186" s="183"/>
      <c r="T186" s="168"/>
      <c r="U186" s="169"/>
      <c r="V186" s="169"/>
      <c r="W186" s="170"/>
      <c r="X186" s="171"/>
      <c r="Y186" s="172"/>
      <c r="Z186" s="172"/>
      <c r="AA186" s="185"/>
    </row>
    <row r="187" spans="1:27" x14ac:dyDescent="0.2">
      <c r="A187" s="77">
        <v>193</v>
      </c>
      <c r="B187" s="231"/>
      <c r="C187" s="19"/>
      <c r="D187" s="19"/>
      <c r="E187" s="69"/>
      <c r="F187" s="70"/>
      <c r="G187" s="158"/>
      <c r="H187" s="160"/>
      <c r="I187" s="74"/>
      <c r="J187" s="77">
        <v>193</v>
      </c>
      <c r="K187" s="8"/>
      <c r="L187" s="9"/>
      <c r="M187" s="9"/>
      <c r="N187" s="9"/>
      <c r="O187" s="45"/>
      <c r="P187" s="93"/>
      <c r="Q187" s="160"/>
      <c r="R187" s="167"/>
      <c r="S187" s="183"/>
      <c r="T187" s="168"/>
      <c r="U187" s="169"/>
      <c r="V187" s="169"/>
      <c r="W187" s="170"/>
      <c r="X187" s="171"/>
      <c r="Y187" s="172"/>
      <c r="Z187" s="172"/>
      <c r="AA187" s="185"/>
    </row>
    <row r="188" spans="1:27" x14ac:dyDescent="0.2">
      <c r="A188" s="77">
        <v>194</v>
      </c>
      <c r="B188" s="231"/>
      <c r="C188" s="19"/>
      <c r="D188" s="19"/>
      <c r="E188" s="69"/>
      <c r="F188" s="70"/>
      <c r="G188" s="158"/>
      <c r="H188" s="160"/>
      <c r="I188" s="74"/>
      <c r="J188" s="77">
        <v>194</v>
      </c>
      <c r="K188" s="8"/>
      <c r="L188" s="9"/>
      <c r="M188" s="9"/>
      <c r="N188" s="9"/>
      <c r="O188" s="45"/>
      <c r="P188" s="93"/>
      <c r="Q188" s="160"/>
      <c r="R188" s="167"/>
      <c r="S188" s="183"/>
      <c r="T188" s="168"/>
      <c r="U188" s="169"/>
      <c r="V188" s="169"/>
      <c r="W188" s="170"/>
      <c r="X188" s="171"/>
      <c r="Y188" s="172"/>
      <c r="Z188" s="172"/>
      <c r="AA188" s="185"/>
    </row>
    <row r="189" spans="1:27" x14ac:dyDescent="0.2">
      <c r="A189" s="77">
        <v>195</v>
      </c>
      <c r="B189" s="231"/>
      <c r="C189" s="19"/>
      <c r="D189" s="19"/>
      <c r="E189" s="69"/>
      <c r="F189" s="70"/>
      <c r="G189" s="158"/>
      <c r="H189" s="160"/>
      <c r="I189" s="74"/>
      <c r="J189" s="77">
        <v>195</v>
      </c>
      <c r="K189" s="8"/>
      <c r="L189" s="9"/>
      <c r="M189" s="9"/>
      <c r="N189" s="9"/>
      <c r="O189" s="45"/>
      <c r="P189" s="93"/>
      <c r="Q189" s="160"/>
      <c r="R189" s="167"/>
      <c r="S189" s="183"/>
      <c r="T189" s="168"/>
      <c r="U189" s="169"/>
      <c r="V189" s="169"/>
      <c r="W189" s="170"/>
      <c r="X189" s="171"/>
      <c r="Y189" s="172"/>
      <c r="Z189" s="172"/>
      <c r="AA189" s="185"/>
    </row>
    <row r="190" spans="1:27" x14ac:dyDescent="0.2">
      <c r="A190" s="77">
        <v>196</v>
      </c>
      <c r="B190" s="231"/>
      <c r="C190" s="19"/>
      <c r="D190" s="19"/>
      <c r="E190" s="69"/>
      <c r="F190" s="70"/>
      <c r="G190" s="158"/>
      <c r="H190" s="160"/>
      <c r="I190" s="74"/>
      <c r="J190" s="77">
        <v>196</v>
      </c>
      <c r="K190" s="8"/>
      <c r="L190" s="9"/>
      <c r="M190" s="9"/>
      <c r="N190" s="9"/>
      <c r="O190" s="45"/>
      <c r="P190" s="93"/>
      <c r="Q190" s="160"/>
      <c r="R190" s="167"/>
      <c r="S190" s="183"/>
      <c r="T190" s="168"/>
      <c r="U190" s="169"/>
      <c r="V190" s="169"/>
      <c r="W190" s="170"/>
      <c r="X190" s="171"/>
      <c r="Y190" s="172"/>
      <c r="Z190" s="172"/>
      <c r="AA190" s="185"/>
    </row>
    <row r="191" spans="1:27" x14ac:dyDescent="0.2">
      <c r="A191" s="77">
        <v>197</v>
      </c>
      <c r="B191" s="231"/>
      <c r="C191" s="19"/>
      <c r="D191" s="19"/>
      <c r="E191" s="69"/>
      <c r="F191" s="70"/>
      <c r="G191" s="158"/>
      <c r="H191" s="160"/>
      <c r="I191" s="74"/>
      <c r="J191" s="77">
        <v>197</v>
      </c>
      <c r="K191" s="8"/>
      <c r="L191" s="9"/>
      <c r="M191" s="9"/>
      <c r="N191" s="9"/>
      <c r="O191" s="45"/>
      <c r="P191" s="93"/>
      <c r="Q191" s="160"/>
      <c r="R191" s="167"/>
      <c r="S191" s="183"/>
      <c r="T191" s="168"/>
      <c r="U191" s="169"/>
      <c r="V191" s="169"/>
      <c r="W191" s="170"/>
      <c r="X191" s="171"/>
      <c r="Y191" s="172"/>
      <c r="Z191" s="172"/>
      <c r="AA191" s="185"/>
    </row>
    <row r="192" spans="1:27" x14ac:dyDescent="0.2">
      <c r="A192" s="77">
        <v>198</v>
      </c>
      <c r="B192" s="231"/>
      <c r="C192" s="19"/>
      <c r="D192" s="19"/>
      <c r="E192" s="69"/>
      <c r="F192" s="70"/>
      <c r="G192" s="158"/>
      <c r="H192" s="160"/>
      <c r="I192" s="74"/>
      <c r="J192" s="77">
        <v>198</v>
      </c>
      <c r="K192" s="8"/>
      <c r="L192" s="9"/>
      <c r="M192" s="9"/>
      <c r="N192" s="9"/>
      <c r="O192" s="45"/>
      <c r="P192" s="93"/>
      <c r="Q192" s="160"/>
      <c r="R192" s="167"/>
      <c r="S192" s="183"/>
      <c r="T192" s="168"/>
      <c r="U192" s="169"/>
      <c r="V192" s="169"/>
      <c r="W192" s="170"/>
      <c r="X192" s="171"/>
      <c r="Y192" s="172"/>
      <c r="Z192" s="172"/>
      <c r="AA192" s="185"/>
    </row>
    <row r="193" spans="1:27" x14ac:dyDescent="0.2">
      <c r="A193" s="77">
        <v>199</v>
      </c>
      <c r="B193" s="231"/>
      <c r="C193" s="19"/>
      <c r="D193" s="19"/>
      <c r="E193" s="69"/>
      <c r="F193" s="70"/>
      <c r="G193" s="158"/>
      <c r="H193" s="160"/>
      <c r="I193" s="74"/>
      <c r="J193" s="77">
        <v>199</v>
      </c>
      <c r="K193" s="8"/>
      <c r="L193" s="9"/>
      <c r="M193" s="9"/>
      <c r="N193" s="9"/>
      <c r="O193" s="45"/>
      <c r="P193" s="93"/>
      <c r="Q193" s="160"/>
      <c r="R193" s="167"/>
      <c r="S193" s="183"/>
      <c r="T193" s="168"/>
      <c r="U193" s="169"/>
      <c r="V193" s="169"/>
      <c r="W193" s="170"/>
      <c r="X193" s="171"/>
      <c r="Y193" s="172"/>
      <c r="Z193" s="172"/>
      <c r="AA193" s="185"/>
    </row>
    <row r="194" spans="1:27" x14ac:dyDescent="0.2">
      <c r="A194" s="77">
        <v>200</v>
      </c>
      <c r="B194" s="231"/>
      <c r="C194" s="19"/>
      <c r="D194" s="19"/>
      <c r="E194" s="69"/>
      <c r="F194" s="70"/>
      <c r="G194" s="158"/>
      <c r="H194" s="160"/>
      <c r="I194" s="74"/>
      <c r="J194" s="77">
        <v>200</v>
      </c>
      <c r="K194" s="8"/>
      <c r="L194" s="9"/>
      <c r="M194" s="9"/>
      <c r="N194" s="9"/>
      <c r="O194" s="45"/>
      <c r="P194" s="93"/>
      <c r="Q194" s="160"/>
      <c r="R194" s="167"/>
      <c r="S194" s="183"/>
      <c r="T194" s="168"/>
      <c r="U194" s="169"/>
      <c r="V194" s="169"/>
      <c r="W194" s="170"/>
      <c r="X194" s="171"/>
      <c r="Y194" s="172"/>
      <c r="Z194" s="172"/>
      <c r="AA194" s="185"/>
    </row>
    <row r="195" spans="1:27" x14ac:dyDescent="0.2">
      <c r="A195" s="77">
        <v>201</v>
      </c>
      <c r="B195" s="227"/>
      <c r="C195" s="9"/>
      <c r="D195" s="9"/>
      <c r="E195" s="69"/>
      <c r="F195" s="70"/>
      <c r="G195" s="158"/>
      <c r="H195" s="160"/>
      <c r="I195" s="74"/>
      <c r="J195" s="77">
        <v>201</v>
      </c>
      <c r="K195" s="8"/>
      <c r="L195" s="9"/>
      <c r="M195" s="9"/>
      <c r="N195" s="9"/>
      <c r="O195" s="45"/>
      <c r="P195" s="93"/>
      <c r="Q195" s="160"/>
      <c r="R195" s="167"/>
      <c r="S195" s="183"/>
      <c r="T195" s="168"/>
      <c r="U195" s="169"/>
      <c r="V195" s="169"/>
      <c r="W195" s="169"/>
      <c r="X195" s="171"/>
      <c r="Y195" s="171"/>
      <c r="Z195" s="172"/>
      <c r="AA195" s="185"/>
    </row>
    <row r="196" spans="1:27" x14ac:dyDescent="0.2">
      <c r="A196" s="77"/>
      <c r="B196" s="227"/>
      <c r="C196" s="9"/>
      <c r="D196" s="9"/>
      <c r="E196" s="69"/>
      <c r="F196" s="70"/>
      <c r="G196" s="158"/>
      <c r="H196" s="160"/>
      <c r="I196" s="74"/>
      <c r="J196" s="77"/>
      <c r="K196" s="8"/>
      <c r="L196" s="9"/>
      <c r="M196" s="9"/>
      <c r="N196" s="9"/>
      <c r="O196" s="45"/>
      <c r="P196" s="93"/>
      <c r="Q196" s="160"/>
      <c r="R196" s="167"/>
      <c r="S196" s="183"/>
      <c r="T196" s="168"/>
      <c r="U196" s="169"/>
      <c r="V196" s="169"/>
      <c r="W196" s="170"/>
      <c r="X196" s="171"/>
      <c r="Y196" s="172"/>
      <c r="Z196" s="172"/>
      <c r="AA196" s="185"/>
    </row>
    <row r="197" spans="1:27" x14ac:dyDescent="0.2">
      <c r="A197" s="77"/>
      <c r="B197" s="227"/>
      <c r="C197" s="9"/>
      <c r="D197" s="9"/>
      <c r="E197" s="69"/>
      <c r="F197" s="70"/>
      <c r="G197" s="158"/>
      <c r="H197" s="160"/>
      <c r="I197" s="74"/>
      <c r="J197" s="77"/>
      <c r="K197" s="8"/>
      <c r="L197" s="9"/>
      <c r="M197" s="9"/>
      <c r="N197" s="9"/>
      <c r="O197" s="45"/>
      <c r="P197" s="93"/>
      <c r="Q197" s="160"/>
      <c r="R197" s="167"/>
      <c r="S197" s="183"/>
      <c r="T197" s="168"/>
      <c r="U197" s="169"/>
      <c r="V197" s="169"/>
      <c r="W197" s="170"/>
      <c r="X197" s="171"/>
      <c r="Y197" s="172"/>
      <c r="Z197" s="172"/>
      <c r="AA197" s="185"/>
    </row>
    <row r="198" spans="1:27" x14ac:dyDescent="0.2">
      <c r="A198" s="77"/>
      <c r="B198" s="227"/>
      <c r="C198" s="9"/>
      <c r="D198" s="9"/>
      <c r="E198" s="69"/>
      <c r="F198" s="70"/>
      <c r="G198" s="158"/>
      <c r="H198" s="160"/>
      <c r="I198" s="74"/>
      <c r="J198" s="77"/>
      <c r="K198" s="8"/>
      <c r="L198" s="9"/>
      <c r="M198" s="9"/>
      <c r="N198" s="9"/>
      <c r="O198" s="45"/>
      <c r="P198" s="93"/>
      <c r="Q198" s="160"/>
      <c r="R198" s="167"/>
      <c r="S198" s="183"/>
      <c r="T198" s="168"/>
      <c r="U198" s="169"/>
      <c r="V198" s="169"/>
      <c r="W198" s="170"/>
      <c r="X198" s="171"/>
      <c r="Y198" s="172"/>
      <c r="Z198" s="172"/>
      <c r="AA198" s="185"/>
    </row>
    <row r="199" spans="1:27" x14ac:dyDescent="0.2">
      <c r="A199" s="77"/>
      <c r="B199" s="227"/>
      <c r="C199" s="9"/>
      <c r="D199" s="9"/>
      <c r="E199" s="69"/>
      <c r="F199" s="70"/>
      <c r="G199" s="158"/>
      <c r="H199" s="160"/>
      <c r="I199" s="74"/>
      <c r="J199" s="77"/>
      <c r="K199" s="8"/>
      <c r="L199" s="9"/>
      <c r="M199" s="9"/>
      <c r="N199" s="9"/>
      <c r="O199" s="45"/>
      <c r="P199" s="93"/>
      <c r="Q199" s="160"/>
      <c r="R199" s="167"/>
      <c r="S199" s="183"/>
      <c r="T199" s="168"/>
      <c r="U199" s="169"/>
      <c r="V199" s="169"/>
      <c r="W199" s="170"/>
      <c r="X199" s="171"/>
      <c r="Y199" s="172"/>
      <c r="Z199" s="172"/>
      <c r="AA199" s="185"/>
    </row>
    <row r="200" spans="1:27" x14ac:dyDescent="0.2">
      <c r="A200" s="77"/>
      <c r="B200" s="227"/>
      <c r="C200" s="9"/>
      <c r="D200" s="9"/>
      <c r="E200" s="69"/>
      <c r="F200" s="70"/>
      <c r="G200" s="158"/>
      <c r="H200" s="160"/>
      <c r="I200" s="74"/>
      <c r="J200" s="77"/>
      <c r="K200" s="8"/>
      <c r="L200" s="9"/>
      <c r="M200" s="9"/>
      <c r="N200" s="9"/>
      <c r="O200" s="45"/>
      <c r="P200" s="93"/>
      <c r="Q200" s="160"/>
      <c r="R200" s="167"/>
      <c r="S200" s="183"/>
      <c r="T200" s="168"/>
      <c r="U200" s="169"/>
      <c r="V200" s="169"/>
      <c r="W200" s="169"/>
      <c r="X200" s="171"/>
      <c r="Y200" s="171"/>
      <c r="Z200" s="172"/>
      <c r="AA200" s="185"/>
    </row>
    <row r="201" spans="1:27" x14ac:dyDescent="0.2">
      <c r="A201" s="77"/>
      <c r="B201" s="227"/>
      <c r="C201" s="9"/>
      <c r="D201" s="9"/>
      <c r="E201" s="69"/>
      <c r="F201" s="70"/>
      <c r="G201" s="158"/>
      <c r="H201" s="160"/>
      <c r="I201" s="74"/>
      <c r="J201" s="77"/>
      <c r="K201" s="8"/>
      <c r="L201" s="9"/>
      <c r="M201" s="9"/>
      <c r="N201" s="9"/>
      <c r="O201" s="45"/>
      <c r="P201" s="93"/>
      <c r="Q201" s="160"/>
      <c r="R201" s="167"/>
      <c r="S201" s="183"/>
      <c r="T201" s="168"/>
      <c r="U201" s="169"/>
      <c r="V201" s="169"/>
      <c r="W201" s="170"/>
      <c r="X201" s="171"/>
      <c r="Y201" s="172"/>
      <c r="Z201" s="172"/>
      <c r="AA201" s="185"/>
    </row>
    <row r="202" spans="1:27" x14ac:dyDescent="0.2">
      <c r="A202" s="77"/>
      <c r="B202" s="227"/>
      <c r="C202" s="9"/>
      <c r="D202" s="9"/>
      <c r="E202" s="69"/>
      <c r="F202" s="70"/>
      <c r="G202" s="158"/>
      <c r="H202" s="160"/>
      <c r="I202" s="74"/>
      <c r="J202" s="77"/>
      <c r="K202" s="8"/>
      <c r="L202" s="9"/>
      <c r="M202" s="9"/>
      <c r="N202" s="9"/>
      <c r="O202" s="45"/>
      <c r="P202" s="93"/>
      <c r="Q202" s="160"/>
      <c r="R202" s="167"/>
      <c r="S202" s="183"/>
      <c r="T202" s="168"/>
      <c r="U202" s="169"/>
      <c r="V202" s="169"/>
      <c r="W202" s="170"/>
      <c r="X202" s="171"/>
      <c r="Y202" s="172"/>
      <c r="Z202" s="172"/>
      <c r="AA202" s="185"/>
    </row>
    <row r="203" spans="1:27" x14ac:dyDescent="0.2">
      <c r="A203" s="77"/>
      <c r="B203" s="227"/>
      <c r="C203" s="9"/>
      <c r="D203" s="9"/>
      <c r="E203" s="69"/>
      <c r="F203" s="70"/>
      <c r="G203" s="158"/>
      <c r="H203" s="160"/>
      <c r="I203" s="74"/>
      <c r="J203" s="77"/>
      <c r="K203" s="8"/>
      <c r="L203" s="9"/>
      <c r="M203" s="9"/>
      <c r="N203" s="9"/>
      <c r="O203" s="45"/>
      <c r="P203" s="93"/>
      <c r="Q203" s="160"/>
      <c r="R203" s="167"/>
      <c r="S203" s="183"/>
      <c r="T203" s="168"/>
      <c r="U203" s="169"/>
      <c r="V203" s="169"/>
      <c r="W203" s="170"/>
      <c r="X203" s="171"/>
      <c r="Y203" s="172"/>
      <c r="Z203" s="172"/>
      <c r="AA203" s="185"/>
    </row>
    <row r="204" spans="1:27" x14ac:dyDescent="0.2">
      <c r="A204" s="77"/>
      <c r="B204" s="227"/>
      <c r="C204" s="9"/>
      <c r="D204" s="9"/>
      <c r="E204" s="69"/>
      <c r="F204" s="70"/>
      <c r="G204" s="158"/>
      <c r="H204" s="160"/>
      <c r="I204" s="74"/>
      <c r="J204" s="77"/>
      <c r="K204" s="8"/>
      <c r="L204" s="9"/>
      <c r="M204" s="9"/>
      <c r="N204" s="9"/>
      <c r="O204" s="45"/>
      <c r="P204" s="93"/>
      <c r="Q204" s="160"/>
      <c r="R204" s="167"/>
      <c r="S204" s="183"/>
      <c r="T204" s="168"/>
      <c r="U204" s="169"/>
      <c r="V204" s="169"/>
      <c r="W204" s="170"/>
      <c r="X204" s="171"/>
      <c r="Y204" s="172"/>
      <c r="Z204" s="172"/>
      <c r="AA204" s="185"/>
    </row>
    <row r="205" spans="1:27" x14ac:dyDescent="0.2">
      <c r="A205" s="77"/>
      <c r="B205" s="227"/>
      <c r="C205" s="9"/>
      <c r="D205" s="9"/>
      <c r="E205" s="69"/>
      <c r="F205" s="70"/>
      <c r="G205" s="158"/>
      <c r="H205" s="160"/>
      <c r="I205" s="74"/>
      <c r="J205" s="77"/>
      <c r="K205" s="8"/>
      <c r="L205" s="9"/>
      <c r="M205" s="9"/>
      <c r="N205" s="9"/>
      <c r="O205" s="45"/>
      <c r="P205" s="93"/>
      <c r="Q205" s="160"/>
      <c r="R205" s="167"/>
      <c r="S205" s="183"/>
      <c r="T205" s="168"/>
      <c r="U205" s="169"/>
      <c r="V205" s="169"/>
      <c r="W205" s="170"/>
      <c r="X205" s="171"/>
      <c r="Y205" s="172"/>
      <c r="Z205" s="172"/>
      <c r="AA205" s="185"/>
    </row>
    <row r="206" spans="1:27" x14ac:dyDescent="0.2">
      <c r="A206" s="77"/>
      <c r="B206" s="227"/>
      <c r="C206" s="9"/>
      <c r="D206" s="9"/>
      <c r="E206" s="69"/>
      <c r="F206" s="70"/>
      <c r="G206" s="158"/>
      <c r="H206" s="160"/>
      <c r="I206" s="74"/>
      <c r="J206" s="77"/>
      <c r="K206" s="8"/>
      <c r="L206" s="9"/>
      <c r="M206" s="9"/>
      <c r="N206" s="9"/>
      <c r="O206" s="45"/>
      <c r="P206" s="93"/>
      <c r="Q206" s="160"/>
      <c r="R206" s="167"/>
      <c r="S206" s="183"/>
      <c r="T206" s="168"/>
      <c r="U206" s="169"/>
      <c r="V206" s="169"/>
      <c r="W206" s="170"/>
      <c r="X206" s="171"/>
      <c r="Y206" s="172"/>
      <c r="Z206" s="172"/>
      <c r="AA206" s="172"/>
    </row>
    <row r="207" spans="1:27" x14ac:dyDescent="0.2">
      <c r="A207" s="77"/>
      <c r="B207" s="227"/>
      <c r="C207" s="9"/>
      <c r="D207" s="9"/>
      <c r="E207" s="69"/>
      <c r="F207" s="70"/>
      <c r="G207" s="158"/>
      <c r="H207" s="160"/>
      <c r="I207" s="74"/>
      <c r="J207" s="77"/>
      <c r="K207" s="8"/>
      <c r="L207" s="9"/>
      <c r="M207" s="9"/>
      <c r="N207" s="9"/>
      <c r="O207" s="45"/>
      <c r="P207" s="93"/>
      <c r="Q207" s="160"/>
      <c r="R207" s="167"/>
      <c r="S207" s="183"/>
      <c r="T207" s="168"/>
      <c r="U207" s="169"/>
      <c r="V207" s="169"/>
      <c r="W207" s="170"/>
      <c r="X207" s="171"/>
      <c r="Y207" s="172"/>
      <c r="Z207" s="172"/>
      <c r="AA207" s="172"/>
    </row>
    <row r="208" spans="1:27" x14ac:dyDescent="0.2">
      <c r="A208" s="77"/>
      <c r="B208" s="227"/>
      <c r="C208" s="9"/>
      <c r="D208" s="9"/>
      <c r="E208" s="69"/>
      <c r="F208" s="70"/>
      <c r="G208" s="158"/>
      <c r="H208" s="160"/>
      <c r="I208" s="74"/>
      <c r="J208" s="77"/>
      <c r="K208" s="8"/>
      <c r="L208" s="9"/>
      <c r="M208" s="9"/>
      <c r="N208" s="9"/>
      <c r="O208" s="45"/>
      <c r="P208" s="93"/>
      <c r="Q208" s="160"/>
      <c r="R208" s="167"/>
      <c r="S208" s="183"/>
      <c r="T208" s="168"/>
      <c r="U208" s="169"/>
      <c r="V208" s="169"/>
      <c r="W208" s="169"/>
      <c r="X208" s="171"/>
      <c r="Y208" s="171"/>
      <c r="Z208" s="172"/>
      <c r="AA208" s="172"/>
    </row>
    <row r="209" spans="1:27" x14ac:dyDescent="0.2">
      <c r="A209" s="77"/>
      <c r="B209" s="227"/>
      <c r="C209" s="9"/>
      <c r="D209" s="9"/>
      <c r="E209" s="69"/>
      <c r="F209" s="70"/>
      <c r="G209" s="158"/>
      <c r="H209" s="160"/>
      <c r="I209" s="74"/>
      <c r="J209" s="77"/>
      <c r="K209" s="8"/>
      <c r="L209" s="9"/>
      <c r="M209" s="9"/>
      <c r="N209" s="9"/>
      <c r="O209" s="45"/>
      <c r="P209" s="93"/>
      <c r="Q209" s="160"/>
      <c r="R209" s="167"/>
      <c r="S209" s="183"/>
      <c r="T209" s="168"/>
      <c r="U209" s="169"/>
      <c r="V209" s="169"/>
      <c r="W209" s="170"/>
      <c r="X209" s="171"/>
      <c r="Y209" s="172"/>
      <c r="Z209" s="172"/>
      <c r="AA209" s="172"/>
    </row>
    <row r="210" spans="1:27" x14ac:dyDescent="0.2">
      <c r="A210" s="77"/>
      <c r="B210" s="227"/>
      <c r="C210" s="9"/>
      <c r="D210" s="9"/>
      <c r="E210" s="69"/>
      <c r="F210" s="70"/>
      <c r="G210" s="158"/>
      <c r="H210" s="160"/>
      <c r="I210" s="74"/>
      <c r="J210" s="77"/>
      <c r="K210" s="8"/>
      <c r="L210" s="9"/>
      <c r="M210" s="9"/>
      <c r="N210" s="9"/>
      <c r="O210" s="45"/>
      <c r="P210" s="93"/>
      <c r="Q210" s="160"/>
      <c r="R210" s="167"/>
      <c r="S210" s="183"/>
      <c r="T210" s="168"/>
      <c r="U210" s="169"/>
      <c r="V210" s="169"/>
      <c r="W210" s="170"/>
      <c r="X210" s="171"/>
      <c r="Y210" s="172"/>
      <c r="Z210" s="172"/>
      <c r="AA210" s="172"/>
    </row>
    <row r="211" spans="1:27" x14ac:dyDescent="0.2">
      <c r="A211" s="77"/>
      <c r="B211" s="227"/>
      <c r="C211" s="9"/>
      <c r="D211" s="9"/>
      <c r="E211" s="69"/>
      <c r="F211" s="70"/>
      <c r="G211" s="158"/>
      <c r="H211" s="160"/>
      <c r="I211" s="74"/>
      <c r="J211" s="77"/>
      <c r="K211" s="8"/>
      <c r="L211" s="9"/>
      <c r="M211" s="9"/>
      <c r="N211" s="9"/>
      <c r="O211" s="45"/>
      <c r="P211" s="93"/>
      <c r="Q211" s="160"/>
      <c r="R211" s="167"/>
      <c r="S211" s="183"/>
      <c r="T211" s="168"/>
      <c r="U211" s="169"/>
      <c r="V211" s="169"/>
      <c r="W211" s="170"/>
      <c r="X211" s="171"/>
      <c r="Y211" s="172"/>
      <c r="Z211" s="172"/>
      <c r="AA211" s="172"/>
    </row>
    <row r="212" spans="1:27" x14ac:dyDescent="0.2">
      <c r="A212" s="77"/>
      <c r="B212" s="227"/>
      <c r="C212" s="9"/>
      <c r="D212" s="9"/>
      <c r="E212" s="69"/>
      <c r="F212" s="70"/>
      <c r="G212" s="158"/>
      <c r="H212" s="160"/>
      <c r="I212" s="74"/>
      <c r="J212" s="77"/>
      <c r="K212" s="8"/>
      <c r="L212" s="9"/>
      <c r="M212" s="9"/>
      <c r="N212" s="9"/>
      <c r="O212" s="45"/>
      <c r="P212" s="93"/>
      <c r="Q212" s="160"/>
      <c r="R212" s="167"/>
      <c r="S212" s="183"/>
      <c r="T212" s="168"/>
      <c r="U212" s="169"/>
      <c r="V212" s="169"/>
      <c r="W212" s="170"/>
      <c r="X212" s="171"/>
      <c r="Y212" s="172"/>
      <c r="Z212" s="172"/>
      <c r="AA212" s="172"/>
    </row>
    <row r="213" spans="1:27" x14ac:dyDescent="0.2">
      <c r="A213" s="77"/>
      <c r="B213" s="227"/>
      <c r="C213" s="9"/>
      <c r="D213" s="9"/>
      <c r="E213" s="69"/>
      <c r="F213" s="70"/>
      <c r="G213" s="158"/>
      <c r="H213" s="160"/>
      <c r="I213" s="74"/>
      <c r="J213" s="77"/>
      <c r="K213" s="8"/>
      <c r="L213" s="9"/>
      <c r="M213" s="9"/>
      <c r="N213" s="9"/>
      <c r="O213" s="45"/>
      <c r="P213" s="93"/>
      <c r="Q213" s="160"/>
      <c r="R213" s="167"/>
      <c r="S213" s="183"/>
      <c r="T213" s="168"/>
      <c r="U213" s="169"/>
      <c r="V213" s="169"/>
      <c r="W213" s="170"/>
      <c r="X213" s="171"/>
      <c r="Y213" s="172"/>
      <c r="Z213" s="172"/>
      <c r="AA213" s="172"/>
    </row>
    <row r="214" spans="1:27" x14ac:dyDescent="0.2">
      <c r="A214" s="77"/>
      <c r="B214" s="227"/>
      <c r="C214" s="9"/>
      <c r="D214" s="9"/>
      <c r="E214" s="69"/>
      <c r="F214" s="70"/>
      <c r="G214" s="158"/>
      <c r="H214" s="160"/>
      <c r="I214" s="74"/>
      <c r="J214" s="77"/>
      <c r="K214" s="8"/>
      <c r="L214" s="9"/>
      <c r="M214" s="9"/>
      <c r="N214" s="9"/>
      <c r="O214" s="45"/>
      <c r="P214" s="93"/>
      <c r="Q214" s="160"/>
      <c r="R214" s="167"/>
      <c r="S214" s="183"/>
      <c r="T214" s="168"/>
      <c r="U214" s="169"/>
      <c r="V214" s="169"/>
      <c r="W214" s="170"/>
      <c r="X214" s="171"/>
      <c r="Y214" s="172"/>
      <c r="Z214" s="172"/>
      <c r="AA214" s="172"/>
    </row>
    <row r="215" spans="1:27" x14ac:dyDescent="0.2">
      <c r="A215" s="77"/>
      <c r="B215" s="224"/>
      <c r="C215" s="9"/>
      <c r="D215" s="9"/>
      <c r="E215" s="69"/>
      <c r="F215" s="70"/>
      <c r="G215" s="158"/>
      <c r="H215" s="160"/>
      <c r="I215" s="74"/>
      <c r="J215" s="77"/>
      <c r="K215" s="8"/>
      <c r="L215" s="9"/>
      <c r="M215" s="9"/>
      <c r="N215" s="9"/>
      <c r="O215" s="45"/>
      <c r="P215" s="93"/>
      <c r="Q215" s="160"/>
      <c r="R215" s="167"/>
      <c r="S215" s="183"/>
      <c r="T215" s="168"/>
      <c r="U215" s="169"/>
      <c r="V215" s="169"/>
      <c r="W215" s="170"/>
      <c r="X215" s="171"/>
      <c r="Y215" s="172"/>
      <c r="Z215" s="172"/>
      <c r="AA215" s="172"/>
    </row>
    <row r="216" spans="1:27" x14ac:dyDescent="0.2">
      <c r="A216" s="77"/>
      <c r="B216" s="224"/>
      <c r="C216" s="9"/>
      <c r="D216" s="9"/>
      <c r="E216" s="69"/>
      <c r="F216" s="70"/>
      <c r="G216" s="158"/>
      <c r="H216" s="160"/>
      <c r="I216" s="74"/>
      <c r="J216" s="77"/>
      <c r="K216" s="8"/>
      <c r="L216" s="9"/>
      <c r="M216" s="9"/>
      <c r="N216" s="9"/>
      <c r="O216" s="45"/>
      <c r="P216" s="93"/>
      <c r="Q216" s="160"/>
      <c r="R216" s="167"/>
      <c r="S216" s="183"/>
      <c r="T216" s="168"/>
      <c r="U216" s="169"/>
      <c r="V216" s="169"/>
      <c r="W216" s="170"/>
      <c r="X216" s="171"/>
      <c r="Y216" s="172"/>
      <c r="Z216" s="172"/>
      <c r="AA216" s="172"/>
    </row>
    <row r="217" spans="1:27" x14ac:dyDescent="0.2">
      <c r="A217" s="77"/>
      <c r="B217" s="224"/>
      <c r="C217" s="9"/>
      <c r="D217" s="9"/>
      <c r="E217" s="69"/>
      <c r="F217" s="70"/>
      <c r="G217" s="158"/>
      <c r="H217" s="160"/>
      <c r="I217" s="74"/>
      <c r="J217" s="77"/>
      <c r="K217" s="8"/>
      <c r="L217" s="9"/>
      <c r="M217" s="9"/>
      <c r="N217" s="9"/>
      <c r="O217" s="45"/>
      <c r="P217" s="93"/>
      <c r="Q217" s="160"/>
      <c r="R217" s="167"/>
      <c r="S217" s="183"/>
      <c r="T217" s="168"/>
      <c r="U217" s="169"/>
      <c r="V217" s="169"/>
      <c r="W217" s="170"/>
      <c r="X217" s="171"/>
      <c r="Y217" s="172"/>
      <c r="Z217" s="172"/>
      <c r="AA217" s="172"/>
    </row>
    <row r="218" spans="1:27" x14ac:dyDescent="0.2">
      <c r="A218" s="77"/>
      <c r="B218" s="224"/>
      <c r="C218" s="9"/>
      <c r="D218" s="9"/>
      <c r="E218" s="69"/>
      <c r="F218" s="70"/>
      <c r="G218" s="158"/>
      <c r="H218" s="160"/>
      <c r="I218" s="74"/>
      <c r="J218" s="77"/>
      <c r="K218" s="8"/>
      <c r="L218" s="9"/>
      <c r="M218" s="9"/>
      <c r="N218" s="9"/>
      <c r="O218" s="45"/>
      <c r="P218" s="93"/>
      <c r="Q218" s="160"/>
      <c r="R218" s="167"/>
      <c r="S218" s="183"/>
      <c r="T218" s="168"/>
      <c r="U218" s="169"/>
      <c r="V218" s="169"/>
      <c r="W218" s="170"/>
      <c r="X218" s="171"/>
      <c r="Y218" s="172"/>
      <c r="Z218" s="172"/>
      <c r="AA218" s="172"/>
    </row>
    <row r="219" spans="1:27" x14ac:dyDescent="0.2">
      <c r="A219" s="77"/>
      <c r="B219" s="224"/>
      <c r="C219" s="9"/>
      <c r="D219" s="9"/>
      <c r="E219" s="69"/>
      <c r="F219" s="70"/>
      <c r="G219" s="158"/>
      <c r="H219" s="160"/>
      <c r="I219" s="74"/>
      <c r="J219" s="77"/>
      <c r="K219" s="8"/>
      <c r="L219" s="9"/>
      <c r="M219" s="9"/>
      <c r="N219" s="9"/>
      <c r="O219" s="45"/>
      <c r="P219" s="93"/>
      <c r="Q219" s="160"/>
      <c r="R219" s="167"/>
      <c r="S219" s="183"/>
      <c r="T219" s="168"/>
      <c r="U219" s="169"/>
      <c r="V219" s="169"/>
      <c r="W219" s="170"/>
      <c r="X219" s="171"/>
      <c r="Y219" s="172"/>
      <c r="Z219" s="172"/>
      <c r="AA219" s="172"/>
    </row>
    <row r="220" spans="1:27" x14ac:dyDescent="0.2">
      <c r="A220" s="77"/>
      <c r="B220" s="224"/>
      <c r="C220" s="9"/>
      <c r="D220" s="9"/>
      <c r="E220" s="69"/>
      <c r="F220" s="70"/>
      <c r="G220" s="158"/>
      <c r="H220" s="160"/>
      <c r="I220" s="74"/>
      <c r="J220" s="77"/>
      <c r="K220" s="8"/>
      <c r="L220" s="9"/>
      <c r="M220" s="9"/>
      <c r="N220" s="9"/>
      <c r="O220" s="45"/>
      <c r="P220" s="93"/>
      <c r="Q220" s="160"/>
      <c r="R220" s="167"/>
      <c r="S220" s="183"/>
      <c r="T220" s="168"/>
      <c r="U220" s="169"/>
      <c r="V220" s="169"/>
      <c r="W220" s="170"/>
      <c r="X220" s="171"/>
      <c r="Y220" s="172"/>
      <c r="Z220" s="172"/>
      <c r="AA220" s="172"/>
    </row>
    <row r="221" spans="1:27" x14ac:dyDescent="0.2">
      <c r="A221" s="77"/>
      <c r="B221" s="224"/>
      <c r="C221" s="9"/>
      <c r="D221" s="9"/>
      <c r="E221" s="69"/>
      <c r="F221" s="70"/>
      <c r="G221" s="158"/>
      <c r="H221" s="160"/>
      <c r="I221" s="74"/>
      <c r="J221" s="77"/>
      <c r="K221" s="8"/>
      <c r="L221" s="9"/>
      <c r="M221" s="9"/>
      <c r="N221" s="9"/>
      <c r="O221" s="45"/>
      <c r="P221" s="93"/>
      <c r="Q221" s="160"/>
      <c r="R221" s="167"/>
      <c r="S221" s="183"/>
      <c r="T221" s="168"/>
      <c r="U221" s="169"/>
      <c r="V221" s="169"/>
      <c r="W221" s="170"/>
      <c r="X221" s="171"/>
      <c r="Y221" s="172"/>
      <c r="Z221" s="172"/>
      <c r="AA221" s="172"/>
    </row>
    <row r="222" spans="1:27" x14ac:dyDescent="0.2">
      <c r="A222" s="77"/>
      <c r="B222" s="224"/>
      <c r="C222" s="9"/>
      <c r="D222" s="9"/>
      <c r="E222" s="69"/>
      <c r="F222" s="70"/>
      <c r="G222" s="158"/>
      <c r="H222" s="160"/>
      <c r="I222" s="74"/>
      <c r="J222" s="77"/>
      <c r="K222" s="8"/>
      <c r="L222" s="9"/>
      <c r="M222" s="9"/>
      <c r="N222" s="9"/>
      <c r="O222" s="45"/>
      <c r="P222" s="93"/>
      <c r="Q222" s="160"/>
      <c r="R222" s="167"/>
      <c r="S222" s="183"/>
      <c r="T222" s="168"/>
      <c r="U222" s="169"/>
      <c r="V222" s="169"/>
      <c r="W222" s="170"/>
      <c r="X222" s="171"/>
      <c r="Y222" s="172"/>
      <c r="Z222" s="172"/>
      <c r="AA222" s="172"/>
    </row>
    <row r="223" spans="1:27" x14ac:dyDescent="0.2">
      <c r="A223" s="8"/>
      <c r="B223" s="224"/>
      <c r="C223" s="9"/>
      <c r="D223" s="9"/>
      <c r="E223" s="69"/>
      <c r="F223" s="158"/>
      <c r="G223" s="235"/>
      <c r="H223" s="74"/>
      <c r="I223" s="8"/>
      <c r="J223" s="77"/>
      <c r="K223" s="8"/>
      <c r="L223" s="9"/>
      <c r="M223" s="9"/>
      <c r="N223" s="9"/>
      <c r="O223" s="45"/>
      <c r="P223" s="93"/>
      <c r="Q223" s="160"/>
      <c r="R223" s="167"/>
      <c r="S223" s="183"/>
      <c r="T223" s="168"/>
      <c r="U223" s="169"/>
      <c r="V223" s="169"/>
      <c r="W223" s="170"/>
      <c r="X223" s="171"/>
      <c r="Y223" s="172"/>
      <c r="Z223" s="172"/>
      <c r="AA223" s="172"/>
    </row>
    <row r="224" spans="1:27" x14ac:dyDescent="0.2">
      <c r="A224" s="8"/>
      <c r="B224" s="224"/>
      <c r="C224" s="9"/>
      <c r="D224" s="9"/>
      <c r="E224" s="69"/>
      <c r="F224" s="158"/>
      <c r="G224" s="235"/>
      <c r="H224" s="74"/>
      <c r="I224" s="8"/>
      <c r="J224" s="77"/>
      <c r="K224" s="8"/>
      <c r="L224" s="9"/>
      <c r="M224" s="9"/>
      <c r="N224" s="9"/>
      <c r="O224" s="45"/>
      <c r="P224" s="93"/>
      <c r="Q224" s="160"/>
      <c r="R224" s="167"/>
      <c r="S224" s="183"/>
      <c r="T224" s="168"/>
      <c r="U224" s="169"/>
      <c r="V224" s="169"/>
      <c r="W224" s="170"/>
      <c r="X224" s="171"/>
      <c r="Y224" s="172"/>
      <c r="Z224" s="172"/>
      <c r="AA224" s="172"/>
    </row>
    <row r="225" spans="1:27" x14ac:dyDescent="0.2">
      <c r="A225" s="8"/>
      <c r="B225" s="224"/>
      <c r="C225" s="9"/>
      <c r="D225" s="9"/>
      <c r="E225" s="69"/>
      <c r="F225" s="158"/>
      <c r="G225" s="235"/>
      <c r="H225" s="74"/>
      <c r="I225" s="8"/>
      <c r="J225" s="77"/>
      <c r="K225" s="8"/>
      <c r="L225" s="9"/>
      <c r="M225" s="9"/>
      <c r="N225" s="9"/>
      <c r="O225" s="45"/>
      <c r="P225" s="93"/>
      <c r="Q225" s="160"/>
      <c r="R225" s="167"/>
      <c r="S225" s="183"/>
      <c r="T225" s="168"/>
      <c r="U225" s="169"/>
      <c r="V225" s="169"/>
      <c r="W225" s="170"/>
      <c r="X225" s="171"/>
      <c r="Y225" s="172"/>
      <c r="Z225" s="172"/>
      <c r="AA225" s="172"/>
    </row>
    <row r="226" spans="1:27" x14ac:dyDescent="0.2">
      <c r="A226" s="8"/>
      <c r="B226" s="224"/>
      <c r="C226" s="9"/>
      <c r="D226" s="9"/>
      <c r="E226" s="69"/>
      <c r="F226" s="158"/>
      <c r="G226" s="235"/>
      <c r="H226" s="74"/>
      <c r="I226" s="8"/>
      <c r="J226" s="77"/>
      <c r="K226" s="8"/>
      <c r="L226" s="9"/>
      <c r="M226" s="9"/>
      <c r="N226" s="9"/>
      <c r="O226" s="45"/>
      <c r="P226" s="93"/>
      <c r="Q226" s="160"/>
      <c r="R226" s="167"/>
      <c r="S226" s="183"/>
      <c r="T226" s="168"/>
      <c r="U226" s="169"/>
      <c r="V226" s="169"/>
      <c r="W226" s="170"/>
      <c r="X226" s="171"/>
      <c r="Y226" s="172"/>
      <c r="Z226" s="172"/>
      <c r="AA226" s="172"/>
    </row>
    <row r="227" spans="1:27" x14ac:dyDescent="0.2">
      <c r="A227" s="8"/>
      <c r="B227" s="224"/>
      <c r="C227" s="9"/>
      <c r="D227" s="9"/>
      <c r="E227" s="69"/>
      <c r="F227" s="158"/>
      <c r="G227" s="235"/>
      <c r="H227" s="74"/>
      <c r="I227" s="8"/>
      <c r="J227" s="77"/>
      <c r="K227" s="8"/>
      <c r="L227" s="9"/>
      <c r="M227" s="9"/>
      <c r="N227" s="9"/>
      <c r="O227" s="45"/>
      <c r="P227" s="93"/>
      <c r="Q227" s="160"/>
      <c r="R227" s="167"/>
      <c r="S227" s="183"/>
      <c r="T227" s="168"/>
      <c r="U227" s="169"/>
      <c r="V227" s="169"/>
      <c r="W227" s="170"/>
      <c r="X227" s="171"/>
      <c r="Y227" s="172"/>
      <c r="Z227" s="172"/>
      <c r="AA227" s="172"/>
    </row>
    <row r="228" spans="1:27" x14ac:dyDescent="0.2">
      <c r="A228" s="8"/>
      <c r="B228" s="224"/>
      <c r="C228" s="9"/>
      <c r="D228" s="9"/>
      <c r="E228" s="69"/>
      <c r="F228" s="158"/>
      <c r="G228" s="235"/>
      <c r="H228" s="74"/>
      <c r="I228" s="8"/>
      <c r="J228" s="77"/>
      <c r="K228" s="8"/>
      <c r="L228" s="9"/>
      <c r="M228" s="9"/>
      <c r="N228" s="9"/>
      <c r="O228" s="45"/>
      <c r="P228" s="93"/>
      <c r="Q228" s="160"/>
      <c r="R228" s="167"/>
      <c r="S228" s="183"/>
      <c r="T228" s="168"/>
      <c r="U228" s="169"/>
      <c r="V228" s="169"/>
      <c r="W228" s="170"/>
      <c r="X228" s="171"/>
      <c r="Y228" s="172"/>
      <c r="Z228" s="172"/>
      <c r="AA228" s="172"/>
    </row>
    <row r="229" spans="1:27" x14ac:dyDescent="0.2">
      <c r="A229" s="8"/>
      <c r="B229" s="224"/>
      <c r="C229" s="9"/>
      <c r="D229" s="9"/>
      <c r="E229" s="69"/>
      <c r="F229" s="158"/>
      <c r="G229" s="235"/>
      <c r="H229" s="74"/>
      <c r="I229" s="8"/>
      <c r="J229" s="77"/>
      <c r="K229" s="8"/>
      <c r="L229" s="9"/>
      <c r="M229" s="9"/>
      <c r="N229" s="9"/>
      <c r="O229" s="45"/>
      <c r="P229" s="93"/>
      <c r="Q229" s="160"/>
      <c r="R229" s="167"/>
      <c r="S229" s="183"/>
      <c r="T229" s="168"/>
      <c r="U229" s="169"/>
      <c r="V229" s="169"/>
      <c r="W229" s="170"/>
      <c r="X229" s="171"/>
      <c r="Y229" s="172"/>
      <c r="Z229" s="172"/>
      <c r="AA229" s="172"/>
    </row>
    <row r="230" spans="1:27" x14ac:dyDescent="0.2">
      <c r="A230" s="8"/>
      <c r="B230" s="224"/>
      <c r="C230" s="9"/>
      <c r="D230" s="9"/>
      <c r="E230" s="69"/>
      <c r="F230" s="158"/>
      <c r="G230" s="235"/>
      <c r="H230" s="74"/>
      <c r="I230" s="8"/>
      <c r="J230" s="77"/>
      <c r="K230" s="8"/>
      <c r="L230" s="9"/>
      <c r="M230" s="9"/>
      <c r="N230" s="9"/>
      <c r="O230" s="45"/>
      <c r="P230" s="93"/>
      <c r="Q230" s="160"/>
      <c r="R230" s="167"/>
      <c r="S230" s="183"/>
      <c r="T230" s="168"/>
      <c r="U230" s="169"/>
      <c r="V230" s="169"/>
      <c r="W230" s="170"/>
      <c r="X230" s="171"/>
      <c r="Y230" s="172"/>
      <c r="Z230" s="172"/>
      <c r="AA230" s="172"/>
    </row>
    <row r="231" spans="1:27" x14ac:dyDescent="0.2">
      <c r="A231" s="8"/>
      <c r="B231" s="224"/>
      <c r="C231" s="9"/>
      <c r="D231" s="9"/>
      <c r="E231" s="69"/>
      <c r="F231" s="158"/>
      <c r="G231" s="235"/>
      <c r="H231" s="74"/>
      <c r="I231" s="8"/>
      <c r="J231" s="77"/>
      <c r="K231" s="8"/>
      <c r="L231" s="9"/>
      <c r="M231" s="9"/>
      <c r="N231" s="9"/>
      <c r="O231" s="45"/>
      <c r="P231" s="93"/>
      <c r="Q231" s="160"/>
      <c r="R231" s="167"/>
      <c r="S231" s="183"/>
      <c r="T231" s="168"/>
      <c r="U231" s="169"/>
      <c r="V231" s="169"/>
      <c r="W231" s="170"/>
      <c r="X231" s="171"/>
      <c r="Y231" s="172"/>
      <c r="Z231" s="172"/>
      <c r="AA231" s="172"/>
    </row>
    <row r="232" spans="1:27" x14ac:dyDescent="0.2">
      <c r="A232" s="8"/>
      <c r="B232" s="224"/>
      <c r="C232" s="9"/>
      <c r="D232" s="9"/>
      <c r="E232" s="69"/>
      <c r="F232" s="158"/>
      <c r="G232" s="235"/>
      <c r="H232" s="74"/>
      <c r="I232" s="8"/>
      <c r="S232" s="183"/>
      <c r="T232" s="168"/>
      <c r="U232" s="169"/>
      <c r="V232" s="169"/>
      <c r="W232" s="170"/>
      <c r="X232" s="171"/>
      <c r="Y232" s="172"/>
      <c r="Z232" s="172"/>
      <c r="AA232" s="172"/>
    </row>
    <row r="233" spans="1:27" x14ac:dyDescent="0.2">
      <c r="A233" s="8"/>
      <c r="B233" s="224"/>
      <c r="C233" s="9"/>
      <c r="D233" s="9"/>
      <c r="E233" s="69"/>
      <c r="F233" s="158"/>
      <c r="G233" s="160"/>
      <c r="H233" s="74"/>
      <c r="I233" s="8"/>
      <c r="S233" s="183"/>
      <c r="T233" s="168"/>
      <c r="U233" s="169"/>
      <c r="V233" s="169"/>
      <c r="W233" s="170"/>
      <c r="X233" s="171"/>
      <c r="Y233" s="172"/>
      <c r="Z233" s="172"/>
      <c r="AA233" s="172"/>
    </row>
    <row r="234" spans="1:27" x14ac:dyDescent="0.2">
      <c r="A234" s="8"/>
      <c r="B234" s="224"/>
      <c r="C234" s="9"/>
      <c r="D234" s="9"/>
      <c r="E234" s="69"/>
      <c r="F234" s="158"/>
      <c r="G234" s="160"/>
      <c r="H234" s="74"/>
      <c r="I234" s="8"/>
      <c r="S234" s="183"/>
      <c r="T234" s="168"/>
      <c r="U234" s="169"/>
      <c r="V234" s="169"/>
      <c r="W234" s="170"/>
      <c r="X234" s="171"/>
      <c r="Y234" s="172"/>
      <c r="Z234" s="172"/>
      <c r="AA234" s="172"/>
    </row>
    <row r="235" spans="1:27" x14ac:dyDescent="0.2">
      <c r="A235" s="8"/>
      <c r="B235" s="224"/>
      <c r="C235" s="9"/>
      <c r="D235" s="9"/>
      <c r="E235" s="69"/>
      <c r="F235" s="158"/>
      <c r="G235" s="160"/>
      <c r="H235" s="74"/>
      <c r="I235" s="8"/>
      <c r="S235" s="183"/>
      <c r="T235" s="168"/>
      <c r="U235" s="169"/>
      <c r="V235" s="169"/>
      <c r="W235" s="170"/>
      <c r="X235" s="171"/>
      <c r="Y235" s="172"/>
      <c r="Z235" s="172"/>
      <c r="AA235" s="172"/>
    </row>
    <row r="236" spans="1:27" x14ac:dyDescent="0.2">
      <c r="A236" s="8"/>
      <c r="B236" s="224"/>
      <c r="C236" s="9"/>
      <c r="D236" s="9"/>
      <c r="E236" s="69"/>
      <c r="F236" s="158"/>
      <c r="G236" s="160"/>
      <c r="H236" s="74"/>
      <c r="I236" s="8"/>
      <c r="S236" s="183"/>
      <c r="T236" s="168"/>
      <c r="U236" s="169"/>
      <c r="V236" s="169"/>
      <c r="W236" s="170"/>
      <c r="X236" s="171"/>
      <c r="Y236" s="172"/>
      <c r="Z236" s="172"/>
      <c r="AA236" s="172"/>
    </row>
    <row r="237" spans="1:27" x14ac:dyDescent="0.2">
      <c r="A237" s="8"/>
      <c r="B237" s="224"/>
      <c r="C237" s="9"/>
      <c r="D237" s="9"/>
      <c r="E237" s="69"/>
      <c r="F237" s="158"/>
      <c r="G237" s="160"/>
      <c r="H237" s="74"/>
      <c r="I237" s="8"/>
      <c r="V237" s="68"/>
    </row>
    <row r="238" spans="1:27" x14ac:dyDescent="0.2">
      <c r="A238" s="8"/>
      <c r="B238" s="224"/>
      <c r="C238" s="9"/>
      <c r="D238" s="9"/>
      <c r="E238" s="69"/>
      <c r="F238" s="158"/>
      <c r="G238" s="160"/>
      <c r="H238" s="74"/>
      <c r="I238" s="8"/>
      <c r="V238" s="68"/>
    </row>
    <row r="239" spans="1:27" x14ac:dyDescent="0.2">
      <c r="A239" s="8"/>
      <c r="B239" s="224"/>
      <c r="C239" s="9"/>
      <c r="D239" s="9"/>
      <c r="E239" s="69"/>
      <c r="F239" s="158"/>
      <c r="G239" s="160"/>
      <c r="H239" s="74"/>
      <c r="I239" s="8"/>
      <c r="V239" s="68"/>
    </row>
    <row r="240" spans="1:27" x14ac:dyDescent="0.2">
      <c r="A240" s="8"/>
      <c r="B240" s="224"/>
      <c r="C240" s="9"/>
      <c r="D240" s="9"/>
      <c r="E240" s="69"/>
      <c r="F240" s="158"/>
      <c r="G240" s="160"/>
      <c r="H240" s="74"/>
      <c r="I240" s="8"/>
      <c r="V240" s="68"/>
    </row>
    <row r="241" spans="1:22" x14ac:dyDescent="0.2">
      <c r="A241" s="8"/>
      <c r="B241" s="224"/>
      <c r="C241" s="9"/>
      <c r="D241" s="9"/>
      <c r="E241" s="69"/>
      <c r="F241" s="158"/>
      <c r="G241" s="160"/>
      <c r="H241" s="74"/>
      <c r="I241" s="8"/>
      <c r="V241" s="68"/>
    </row>
    <row r="242" spans="1:22" x14ac:dyDescent="0.2">
      <c r="A242" s="8"/>
      <c r="B242" s="224"/>
      <c r="C242" s="9"/>
      <c r="D242" s="9"/>
      <c r="E242" s="69"/>
      <c r="F242" s="158"/>
      <c r="G242" s="160"/>
      <c r="H242" s="74"/>
      <c r="I242" s="8"/>
      <c r="V242" s="68"/>
    </row>
    <row r="243" spans="1:22" x14ac:dyDescent="0.2">
      <c r="A243" s="8"/>
      <c r="B243" s="224"/>
      <c r="C243" s="9"/>
      <c r="D243" s="9"/>
      <c r="E243" s="69"/>
      <c r="F243" s="158"/>
      <c r="G243" s="160"/>
      <c r="H243" s="74"/>
      <c r="I243" s="8"/>
      <c r="V243" s="68"/>
    </row>
    <row r="244" spans="1:22" x14ac:dyDescent="0.2">
      <c r="A244" s="8"/>
      <c r="B244" s="224"/>
      <c r="C244" s="9"/>
      <c r="D244" s="9"/>
      <c r="E244" s="69"/>
      <c r="F244" s="158"/>
      <c r="G244" s="160"/>
      <c r="H244" s="74"/>
      <c r="I244" s="8"/>
    </row>
    <row r="245" spans="1:22" x14ac:dyDescent="0.2">
      <c r="A245" s="8"/>
      <c r="B245" s="224"/>
      <c r="C245" s="9"/>
      <c r="D245" s="9"/>
      <c r="E245" s="69"/>
      <c r="F245" s="158"/>
      <c r="G245" s="160"/>
      <c r="H245" s="74"/>
      <c r="I245" s="8"/>
    </row>
  </sheetData>
  <sortState ref="T3:Z166">
    <sortCondition descending="1" ref="Z3:Z166"/>
  </sortState>
  <phoneticPr fontId="0" type="noConversion"/>
  <printOptions horizontalCentered="1"/>
  <pageMargins left="0.75" right="0.75" top="1" bottom="1" header="0.5" footer="0.5"/>
  <pageSetup orientation="portrait" verticalDpi="1200" r:id="rId1"/>
  <headerFooter alignWithMargins="0">
    <oddHeader xml:space="preserve">&amp;C&amp;"-,Bold"&amp;14U.S. Biathlon Association&amp;R&amp;"Tahoma,Bold"&amp;11 </oddHeader>
    <oddFooter>&amp;L&amp;"Tahoma,Regular"Report Created 10 APR 2018&amp;R&amp;"Tahoma,Regular"Page &amp;P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4"/>
  <sheetViews>
    <sheetView workbookViewId="0">
      <selection activeCell="B1" sqref="B1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348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43085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349</v>
      </c>
      <c r="C5" s="35"/>
      <c r="D5" s="35"/>
      <c r="E5" s="35" t="s">
        <v>28</v>
      </c>
      <c r="F5" s="52">
        <f>AVERAGE(C8:C10)*(AVERAGE(D8:D10)/100)</f>
        <v>1.4168875476901334E-2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249</v>
      </c>
      <c r="C8" s="60">
        <v>1.484837962962963E-2</v>
      </c>
      <c r="D8" s="6">
        <f>INDEX('Points Summary'!$H$4:$H$672,G8)</f>
        <v>93.765334327313028</v>
      </c>
      <c r="E8" s="67">
        <f t="shared" ref="E8:E18" si="0">(AVERAGE($D$8:$D$10)/100*AVERAGE($C$8:$C$10))/C8</f>
        <v>0.95423715114527652</v>
      </c>
      <c r="F8" s="5"/>
      <c r="G8" s="4">
        <f>MATCH(B8,'Points Summary'!$B$4:$B$673,0)</f>
        <v>106</v>
      </c>
    </row>
    <row r="9" spans="1:7" x14ac:dyDescent="0.2">
      <c r="A9" s="4">
        <v>3</v>
      </c>
      <c r="B9" s="5" t="s">
        <v>216</v>
      </c>
      <c r="C9" s="60">
        <v>1.5835648148148151E-2</v>
      </c>
      <c r="D9" s="6">
        <f>INDEX('Points Summary'!$H$4:$H$672,G9)</f>
        <v>90.310789689595381</v>
      </c>
      <c r="E9" s="67">
        <f t="shared" si="0"/>
        <v>0.89474553515880351</v>
      </c>
      <c r="F9" s="5"/>
      <c r="G9" s="4">
        <f>MATCH(B9,'Points Summary'!$B$4:$B$673,0)</f>
        <v>101</v>
      </c>
    </row>
    <row r="10" spans="1:7" x14ac:dyDescent="0.2">
      <c r="A10" s="4">
        <v>7</v>
      </c>
      <c r="B10" s="5" t="s">
        <v>215</v>
      </c>
      <c r="C10" s="60">
        <v>1.615625E-2</v>
      </c>
      <c r="D10" s="6">
        <f>INDEX('Points Summary'!$H$4:$H$672,G10)</f>
        <v>88.167947414731699</v>
      </c>
      <c r="E10" s="67">
        <f t="shared" si="0"/>
        <v>0.87699035833818695</v>
      </c>
      <c r="F10" s="5"/>
      <c r="G10" s="4">
        <f>MATCH(B10,'Points Summary'!$B$4:$B$673,0)</f>
        <v>38</v>
      </c>
    </row>
    <row r="11" spans="1:7" x14ac:dyDescent="0.2">
      <c r="A11" s="4">
        <v>6</v>
      </c>
      <c r="B11" s="5" t="s">
        <v>259</v>
      </c>
      <c r="C11" s="60">
        <v>1.6087962962962964E-2</v>
      </c>
      <c r="D11" s="6">
        <f>INDEX('Points Summary'!$H$4:$H$672,G11)</f>
        <v>84.895255654839019</v>
      </c>
      <c r="E11" s="67">
        <f t="shared" si="0"/>
        <v>0.88071283539875911</v>
      </c>
      <c r="F11" s="5"/>
      <c r="G11" s="4">
        <f>MATCH(B11,'Points Summary'!$B$4:$B$673,0)</f>
        <v>57</v>
      </c>
    </row>
    <row r="12" spans="1:7" x14ac:dyDescent="0.2">
      <c r="A12" s="4">
        <v>8</v>
      </c>
      <c r="B12" s="5" t="s">
        <v>231</v>
      </c>
      <c r="C12" s="60">
        <v>1.6413194444444446E-2</v>
      </c>
      <c r="D12" s="6">
        <f>INDEX('Points Summary'!$H$4:$H$672,G12)</f>
        <v>83.324415222319843</v>
      </c>
      <c r="E12" s="67">
        <f t="shared" si="0"/>
        <v>0.86326129412895791</v>
      </c>
      <c r="F12" s="5"/>
      <c r="G12" s="4">
        <f>MATCH(B12,'Points Summary'!$B$4:$B$673,0)</f>
        <v>43</v>
      </c>
    </row>
    <row r="13" spans="1:7" x14ac:dyDescent="0.2">
      <c r="A13" s="4">
        <v>2</v>
      </c>
      <c r="B13" s="5" t="s">
        <v>228</v>
      </c>
      <c r="C13" s="60">
        <v>1.5707175925925927E-2</v>
      </c>
      <c r="D13" s="6">
        <f>INDEX('Points Summary'!$H$4:$H$672,G13)</f>
        <v>78.993710558583317</v>
      </c>
      <c r="E13" s="67">
        <f t="shared" si="0"/>
        <v>0.90206384290345232</v>
      </c>
      <c r="F13" s="5"/>
      <c r="G13" s="4">
        <f>MATCH(B13,'Points Summary'!$B$4:$B$673,0)</f>
        <v>81</v>
      </c>
    </row>
    <row r="14" spans="1:7" x14ac:dyDescent="0.2">
      <c r="A14" s="4">
        <v>5</v>
      </c>
      <c r="B14" s="5" t="s">
        <v>346</v>
      </c>
      <c r="C14" s="60">
        <v>1.6019675925925927E-2</v>
      </c>
      <c r="D14" s="6">
        <f>INDEX('Points Summary'!$H$4:$H$672,G14)</f>
        <v>73.541805346681699</v>
      </c>
      <c r="E14" s="67">
        <f t="shared" si="0"/>
        <v>0.8844670480487502</v>
      </c>
      <c r="F14" s="5"/>
      <c r="G14" s="4">
        <f>MATCH(B14,'Points Summary'!$B$4:$B$673,0)</f>
        <v>14</v>
      </c>
    </row>
    <row r="15" spans="1:7" x14ac:dyDescent="0.2">
      <c r="A15" s="4">
        <v>10</v>
      </c>
      <c r="B15" s="5" t="s">
        <v>223</v>
      </c>
      <c r="C15" s="60">
        <v>1.886689814814815E-2</v>
      </c>
      <c r="D15" s="6">
        <f>INDEX('Points Summary'!$H$4:$H$672,G15)</f>
        <v>72.034864861933698</v>
      </c>
      <c r="E15" s="67">
        <f t="shared" si="0"/>
        <v>0.75099125280919887</v>
      </c>
      <c r="F15" s="5"/>
      <c r="G15" s="4">
        <f>MATCH(B15,'Points Summary'!$B$4:$B$673,0)</f>
        <v>59</v>
      </c>
    </row>
    <row r="16" spans="1:7" x14ac:dyDescent="0.2">
      <c r="A16" s="4">
        <v>11</v>
      </c>
      <c r="B16" s="5" t="s">
        <v>311</v>
      </c>
      <c r="C16" s="60">
        <v>2.5638888888888892E-2</v>
      </c>
      <c r="D16" s="6">
        <f>INDEX('Points Summary'!$H$4:$H$672,G16)</f>
        <v>43.718422824106256</v>
      </c>
      <c r="E16" s="67">
        <f t="shared" si="0"/>
        <v>0.55263219628217541</v>
      </c>
      <c r="F16" s="5"/>
      <c r="G16" s="4">
        <f>MATCH(B16,'Points Summary'!$B$4:$B$673,0)</f>
        <v>63</v>
      </c>
    </row>
    <row r="17" spans="1:7" x14ac:dyDescent="0.2">
      <c r="A17" s="4">
        <v>4</v>
      </c>
      <c r="B17" s="5" t="s">
        <v>345</v>
      </c>
      <c r="C17" s="60">
        <v>1.5921296296296298E-2</v>
      </c>
      <c r="D17" s="6">
        <f>INDEX('Points Summary'!$H$4:$H$672,G17)</f>
        <v>0</v>
      </c>
      <c r="E17" s="67">
        <f t="shared" si="0"/>
        <v>0.88993227770011274</v>
      </c>
      <c r="F17" s="5"/>
      <c r="G17" s="4">
        <f>MATCH(B17,'Points Summary'!$B$4:$B$673,0)</f>
        <v>71</v>
      </c>
    </row>
    <row r="18" spans="1:7" x14ac:dyDescent="0.2">
      <c r="A18" s="4">
        <v>9</v>
      </c>
      <c r="B18" s="5" t="s">
        <v>347</v>
      </c>
      <c r="C18" s="60">
        <v>1.7041666666666667E-2</v>
      </c>
      <c r="D18" s="6">
        <f>INDEX('Points Summary'!$H$4:$H$672,G18)</f>
        <v>0</v>
      </c>
      <c r="E18" s="67">
        <f t="shared" si="0"/>
        <v>0.831425455857291</v>
      </c>
      <c r="F18" s="5"/>
      <c r="G18" s="4">
        <f>MATCH(B18,'Points Summary'!$B$4:$B$673,0)</f>
        <v>128</v>
      </c>
    </row>
    <row r="19" spans="1:7" x14ac:dyDescent="0.2">
      <c r="A19" s="63"/>
      <c r="B19" s="81"/>
      <c r="C19" s="65"/>
      <c r="D19" s="6"/>
      <c r="E19" s="41"/>
      <c r="F19" s="5"/>
      <c r="G19" s="4"/>
    </row>
    <row r="20" spans="1:7" x14ac:dyDescent="0.2">
      <c r="A20" s="63"/>
    </row>
    <row r="21" spans="1:7" x14ac:dyDescent="0.2">
      <c r="A21" s="63"/>
    </row>
    <row r="22" spans="1:7" x14ac:dyDescent="0.2">
      <c r="A22" s="63"/>
    </row>
    <row r="23" spans="1:7" x14ac:dyDescent="0.2">
      <c r="A23" s="63"/>
    </row>
    <row r="24" spans="1:7" x14ac:dyDescent="0.2">
      <c r="A24" s="63"/>
    </row>
  </sheetData>
  <sortState ref="A8:G18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11"/>
  <sheetViews>
    <sheetView workbookViewId="0">
      <selection sqref="A1:G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20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38325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14</v>
      </c>
      <c r="C5" s="35"/>
      <c r="D5" s="35"/>
      <c r="E5" s="35"/>
      <c r="F5" s="35"/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5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5"/>
      <c r="B8" s="5" t="s">
        <v>21</v>
      </c>
      <c r="C8" s="40">
        <f>TIME(0,0,0)</f>
        <v>0</v>
      </c>
      <c r="D8" s="6" t="e">
        <f>INDEX('Points Summary'!$H$4:$H$672,G8)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5"/>
      <c r="B9" s="5" t="s">
        <v>21</v>
      </c>
      <c r="C9" s="40">
        <f>TIME(0,0,0)</f>
        <v>0</v>
      </c>
      <c r="D9" s="6" t="e">
        <f>INDEX('Points Summary'!$H$4:$H$672,G9)</f>
        <v>#N/A</v>
      </c>
      <c r="E9" s="41" t="e">
        <f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5"/>
      <c r="B10" s="5" t="s">
        <v>21</v>
      </c>
      <c r="C10" s="40">
        <f>TIME(0,0,0)</f>
        <v>0</v>
      </c>
      <c r="D10" s="6" t="e">
        <f>INDEX('Points Summary'!$H$4:$H$672,G10)</f>
        <v>#N/A</v>
      </c>
      <c r="E10" s="41" t="e">
        <f>(AVERAGE($D$8:$D$10)/100*AVERAGE($C$8:$C$10))/C10</f>
        <v>#N/A</v>
      </c>
      <c r="F10" s="5"/>
      <c r="G10" s="4" t="e">
        <f>MATCH(B10,'Points Summary'!$B$4:$B$673,0)</f>
        <v>#N/A</v>
      </c>
    </row>
    <row r="11" spans="1:7" x14ac:dyDescent="0.2">
      <c r="A11" s="5"/>
      <c r="B11" s="5"/>
      <c r="C11" s="40"/>
      <c r="D11" s="6"/>
      <c r="E11" s="41"/>
      <c r="F11" s="5"/>
      <c r="G11" s="4"/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"/>
  <sheetViews>
    <sheetView workbookViewId="0">
      <selection activeCell="B1" sqref="B1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348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43086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349</v>
      </c>
      <c r="C5" s="35"/>
      <c r="D5" s="35"/>
      <c r="E5" s="35" t="s">
        <v>28</v>
      </c>
      <c r="F5" s="52">
        <f>AVERAGE(C8:C10)*(AVERAGE(D8:D10)/100)</f>
        <v>2.4254089882328064E-2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3</v>
      </c>
      <c r="B8" s="5" t="s">
        <v>249</v>
      </c>
      <c r="C8" s="60">
        <v>2.6302083333333334E-2</v>
      </c>
      <c r="D8" s="6">
        <f>INDEX('Points Summary'!$H$4:$H$672,G8)</f>
        <v>93.765334327313028</v>
      </c>
      <c r="E8" s="41">
        <f>(AVERAGE($D$8:$D$10)/100*AVERAGE($C$8:$C$10))/C8</f>
        <v>0.92213569453603728</v>
      </c>
      <c r="F8" s="5"/>
      <c r="G8" s="4">
        <f>MATCH(B8,'Points Summary'!$B$4:$B$673,0)</f>
        <v>106</v>
      </c>
    </row>
    <row r="9" spans="1:7" x14ac:dyDescent="0.2">
      <c r="A9" s="4">
        <v>2</v>
      </c>
      <c r="B9" s="5" t="s">
        <v>216</v>
      </c>
      <c r="C9" s="60">
        <v>2.5614583333333333E-2</v>
      </c>
      <c r="D9" s="6">
        <f>INDEX('Points Summary'!$H$4:$H$672,G9)</f>
        <v>90.310789689595381</v>
      </c>
      <c r="E9" s="41">
        <f t="shared" ref="E9" si="0">(AVERAGE($D$8:$D$10)/100*AVERAGE($C$8:$C$10))/C9</f>
        <v>0.94688598157929815</v>
      </c>
      <c r="F9" s="5"/>
      <c r="G9" s="4">
        <f>MATCH(B9,'Points Summary'!$B$4:$B$673,0)</f>
        <v>101</v>
      </c>
    </row>
    <row r="10" spans="1:7" x14ac:dyDescent="0.2">
      <c r="A10" s="4">
        <v>6</v>
      </c>
      <c r="B10" s="5" t="s">
        <v>215</v>
      </c>
      <c r="C10" s="60">
        <v>2.826388888888889E-2</v>
      </c>
      <c r="D10" s="6">
        <f>INDEX('Points Summary'!$H$4:$H$672,G10)</f>
        <v>88.167947414731699</v>
      </c>
      <c r="E10" s="41">
        <f t="shared" ref="E10:E18" si="1">(AVERAGE($D$8:$D$10)/100*AVERAGE($C$8:$C$10))/C10</f>
        <v>0.85812996143863418</v>
      </c>
      <c r="F10" s="5"/>
      <c r="G10" s="4">
        <f>MATCH(B10,'Points Summary'!$B$4:$B$673,0)</f>
        <v>38</v>
      </c>
    </row>
    <row r="11" spans="1:7" x14ac:dyDescent="0.2">
      <c r="A11" s="4">
        <v>7</v>
      </c>
      <c r="B11" s="5" t="s">
        <v>259</v>
      </c>
      <c r="C11" s="60">
        <v>2.8513888888888891E-2</v>
      </c>
      <c r="D11" s="6">
        <f>INDEX('Points Summary'!$H$4:$H$672,G11)</f>
        <v>84.895255654839019</v>
      </c>
      <c r="E11" s="41">
        <f t="shared" si="1"/>
        <v>0.85060617220049706</v>
      </c>
      <c r="F11" s="5"/>
      <c r="G11" s="4">
        <f>MATCH(B11,'Points Summary'!$B$4:$B$673,0)</f>
        <v>57</v>
      </c>
    </row>
    <row r="12" spans="1:7" x14ac:dyDescent="0.2">
      <c r="A12" s="4">
        <v>4</v>
      </c>
      <c r="B12" s="5" t="s">
        <v>231</v>
      </c>
      <c r="C12" s="60">
        <v>2.7018518518518522E-2</v>
      </c>
      <c r="D12" s="6">
        <f>INDEX('Points Summary'!$H$4:$H$672,G12)</f>
        <v>83.324415222319843</v>
      </c>
      <c r="E12" s="41">
        <f t="shared" si="1"/>
        <v>0.8976839298462751</v>
      </c>
      <c r="F12" s="5"/>
      <c r="G12" s="4">
        <f>MATCH(B12,'Points Summary'!$B$4:$B$673,0)</f>
        <v>43</v>
      </c>
    </row>
    <row r="13" spans="1:7" x14ac:dyDescent="0.2">
      <c r="A13" s="4">
        <v>1</v>
      </c>
      <c r="B13" s="5" t="s">
        <v>228</v>
      </c>
      <c r="C13" s="60">
        <v>2.5497685185185189E-2</v>
      </c>
      <c r="D13" s="6">
        <f>INDEX('Points Summary'!$H$4:$H$672,G13)</f>
        <v>78.993710558583317</v>
      </c>
      <c r="E13" s="41">
        <f t="shared" si="1"/>
        <v>0.951227129293302</v>
      </c>
      <c r="F13" s="5"/>
      <c r="G13" s="4">
        <f>MATCH(B13,'Points Summary'!$B$4:$B$673,0)</f>
        <v>81</v>
      </c>
    </row>
    <row r="14" spans="1:7" x14ac:dyDescent="0.2">
      <c r="A14" s="4">
        <v>9</v>
      </c>
      <c r="B14" s="5" t="s">
        <v>346</v>
      </c>
      <c r="C14" s="60">
        <v>3.0377314814814815E-2</v>
      </c>
      <c r="D14" s="6">
        <f>INDEX('Points Summary'!$H$4:$H$672,G14)</f>
        <v>73.541805346681699</v>
      </c>
      <c r="E14" s="41">
        <f t="shared" si="1"/>
        <v>0.79842770930166296</v>
      </c>
      <c r="F14" s="5"/>
      <c r="G14" s="4">
        <f>MATCH(B14,'Points Summary'!$B$4:$B$673,0)</f>
        <v>14</v>
      </c>
    </row>
    <row r="15" spans="1:7" x14ac:dyDescent="0.2">
      <c r="A15" s="4">
        <v>8</v>
      </c>
      <c r="B15" s="5" t="s">
        <v>223</v>
      </c>
      <c r="C15" s="60">
        <v>2.8611111111111115E-2</v>
      </c>
      <c r="D15" s="6">
        <f>INDEX('Points Summary'!$H$4:$H$672,G15)</f>
        <v>72.034864861933698</v>
      </c>
      <c r="E15" s="41">
        <f t="shared" si="1"/>
        <v>0.84771576287748562</v>
      </c>
      <c r="F15" s="5"/>
      <c r="G15" s="4">
        <f>MATCH(B15,'Points Summary'!$B$4:$B$673,0)</f>
        <v>59</v>
      </c>
    </row>
    <row r="16" spans="1:7" x14ac:dyDescent="0.2">
      <c r="A16" s="4">
        <v>11</v>
      </c>
      <c r="B16" s="5" t="s">
        <v>311</v>
      </c>
      <c r="C16" s="60">
        <v>4.2905092592592592E-2</v>
      </c>
      <c r="D16" s="6">
        <f>INDEX('Points Summary'!$H$4:$H$672,G16)</f>
        <v>43.718422824106256</v>
      </c>
      <c r="E16" s="41">
        <f t="shared" si="1"/>
        <v>0.5652962950723347</v>
      </c>
      <c r="F16" s="5"/>
      <c r="G16" s="4">
        <f>MATCH(B16,'Points Summary'!$B$4:$B$673,0)</f>
        <v>63</v>
      </c>
    </row>
    <row r="17" spans="1:7" x14ac:dyDescent="0.2">
      <c r="A17" s="4">
        <v>5</v>
      </c>
      <c r="B17" s="5" t="s">
        <v>345</v>
      </c>
      <c r="C17" s="60">
        <v>2.7035879629629628E-2</v>
      </c>
      <c r="D17" s="6">
        <f>INDEX('Points Summary'!$H$4:$H$672,G17)</f>
        <v>0</v>
      </c>
      <c r="E17" s="41">
        <f t="shared" si="1"/>
        <v>0.89710748141322183</v>
      </c>
      <c r="F17" s="5"/>
      <c r="G17" s="4">
        <f>MATCH(B17,'Points Summary'!$B$4:$B$673,0)</f>
        <v>71</v>
      </c>
    </row>
    <row r="18" spans="1:7" x14ac:dyDescent="0.2">
      <c r="A18" s="4">
        <v>10</v>
      </c>
      <c r="B18" s="5" t="s">
        <v>347</v>
      </c>
      <c r="C18" s="60">
        <v>3.0436342592592591E-2</v>
      </c>
      <c r="D18" s="6">
        <f>INDEX('Points Summary'!$H$4:$H$672,G18)</f>
        <v>0</v>
      </c>
      <c r="E18" s="41">
        <f t="shared" si="1"/>
        <v>0.79687925080166744</v>
      </c>
      <c r="F18" s="5"/>
      <c r="G18" s="4">
        <f>MATCH(B18,'Points Summary'!$B$4:$B$673,0)</f>
        <v>128</v>
      </c>
    </row>
    <row r="19" spans="1:7" x14ac:dyDescent="0.2">
      <c r="A19" s="63"/>
      <c r="B19" s="81"/>
      <c r="C19" s="65"/>
      <c r="D19" s="6"/>
      <c r="E19" s="41"/>
      <c r="F19" s="5"/>
      <c r="G19" s="4"/>
    </row>
  </sheetData>
  <sortState ref="A8:D12">
    <sortCondition descending="1" ref="D8:D12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"/>
  <sheetViews>
    <sheetView workbookViewId="0">
      <selection activeCell="B1" sqref="B1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350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43088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349</v>
      </c>
      <c r="C5" s="35"/>
      <c r="D5" s="35"/>
      <c r="E5" s="35" t="s">
        <v>28</v>
      </c>
      <c r="F5" s="52">
        <f>AVERAGE(C8:C10)*(AVERAGE(D8:D10)/100)</f>
        <v>1.4727402203130223E-2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216</v>
      </c>
      <c r="C8" s="222">
        <v>1.6368055555555556E-2</v>
      </c>
      <c r="D8" s="6">
        <f>INDEX('Points Summary'!$H$4:$H$672,G8)</f>
        <v>90.310789689595381</v>
      </c>
      <c r="E8" s="67">
        <f t="shared" ref="E8:E18" si="0">(AVERAGE($D$8:$D$10)/100*AVERAGE($C$8:$C$10))/C8</f>
        <v>0.89976492034397626</v>
      </c>
      <c r="F8" s="5"/>
      <c r="G8" s="4">
        <f>MATCH(B8,'Points Summary'!$B$4:$B$673,0)</f>
        <v>101</v>
      </c>
    </row>
    <row r="9" spans="1:7" x14ac:dyDescent="0.2">
      <c r="A9" s="4">
        <v>3</v>
      </c>
      <c r="B9" s="5" t="s">
        <v>215</v>
      </c>
      <c r="C9" s="222">
        <v>1.689351851851852E-2</v>
      </c>
      <c r="D9" s="6">
        <f>INDEX('Points Summary'!$H$4:$H$672,G9)</f>
        <v>88.167947414731699</v>
      </c>
      <c r="E9" s="67">
        <f t="shared" si="0"/>
        <v>0.871778261407544</v>
      </c>
      <c r="F9" s="5"/>
      <c r="G9" s="4">
        <f>MATCH(B9,'Points Summary'!$B$4:$B$673,0)</f>
        <v>38</v>
      </c>
    </row>
    <row r="10" spans="1:7" x14ac:dyDescent="0.2">
      <c r="A10" s="4">
        <v>4</v>
      </c>
      <c r="B10" s="5" t="s">
        <v>259</v>
      </c>
      <c r="C10" s="222">
        <v>1.7064814814814814E-2</v>
      </c>
      <c r="D10" s="6">
        <f>INDEX('Points Summary'!$H$4:$H$672,G10)</f>
        <v>84.895255654839019</v>
      </c>
      <c r="E10" s="67">
        <f t="shared" si="0"/>
        <v>0.86302736730225948</v>
      </c>
      <c r="F10" s="5"/>
      <c r="G10" s="4">
        <f>MATCH(B10,'Points Summary'!$B$4:$B$673,0)</f>
        <v>57</v>
      </c>
    </row>
    <row r="11" spans="1:7" x14ac:dyDescent="0.2">
      <c r="A11" s="4">
        <v>5</v>
      </c>
      <c r="B11" s="5" t="s">
        <v>231</v>
      </c>
      <c r="C11" s="222">
        <v>1.7064814814814814E-2</v>
      </c>
      <c r="D11" s="6">
        <f>INDEX('Points Summary'!$H$4:$H$672,G11)</f>
        <v>83.324415222319843</v>
      </c>
      <c r="E11" s="67">
        <f t="shared" si="0"/>
        <v>0.86302736730225948</v>
      </c>
      <c r="F11" s="5"/>
      <c r="G11" s="4">
        <f>MATCH(B11,'Points Summary'!$B$4:$B$673,0)</f>
        <v>43</v>
      </c>
    </row>
    <row r="12" spans="1:7" x14ac:dyDescent="0.2">
      <c r="A12" s="4">
        <v>2</v>
      </c>
      <c r="B12" s="5" t="s">
        <v>228</v>
      </c>
      <c r="C12" s="222">
        <v>1.6559027777777777E-2</v>
      </c>
      <c r="D12" s="6">
        <f>INDEX('Points Summary'!$H$4:$H$672,G12)</f>
        <v>78.993710558583317</v>
      </c>
      <c r="E12" s="67">
        <f t="shared" si="0"/>
        <v>0.88938809698081456</v>
      </c>
      <c r="F12" s="5"/>
      <c r="G12" s="4">
        <f>MATCH(B12,'Points Summary'!$B$4:$B$673,0)</f>
        <v>81</v>
      </c>
    </row>
    <row r="13" spans="1:7" x14ac:dyDescent="0.2">
      <c r="A13" s="63">
        <v>8</v>
      </c>
      <c r="B13" s="5" t="s">
        <v>346</v>
      </c>
      <c r="C13" s="60">
        <v>1.9442129629629629E-2</v>
      </c>
      <c r="D13" s="6">
        <f>INDEX('Points Summary'!$H$4:$H$672,G13)</f>
        <v>73.541805346681699</v>
      </c>
      <c r="E13" s="67">
        <f t="shared" si="0"/>
        <v>0.75749943466510972</v>
      </c>
      <c r="F13" s="5"/>
      <c r="G13" s="4">
        <f>MATCH(B13,'Points Summary'!$B$4:$B$673,0)</f>
        <v>14</v>
      </c>
    </row>
    <row r="14" spans="1:7" x14ac:dyDescent="0.2">
      <c r="A14" s="63">
        <v>9</v>
      </c>
      <c r="B14" s="5" t="s">
        <v>223</v>
      </c>
      <c r="C14" s="222">
        <v>1.9849537037037037E-2</v>
      </c>
      <c r="D14" s="6">
        <f>INDEX('Points Summary'!$H$4:$H$672,G14)</f>
        <v>72.034864861933698</v>
      </c>
      <c r="E14" s="67">
        <f t="shared" si="0"/>
        <v>0.7419519244025955</v>
      </c>
      <c r="F14" s="5"/>
      <c r="G14" s="4">
        <f>MATCH(B14,'Points Summary'!$B$4:$B$673,0)</f>
        <v>59</v>
      </c>
    </row>
    <row r="15" spans="1:7" x14ac:dyDescent="0.2">
      <c r="A15" s="4">
        <v>10</v>
      </c>
      <c r="B15" s="5" t="s">
        <v>243</v>
      </c>
      <c r="C15" s="222">
        <v>2.0879629629629626E-2</v>
      </c>
      <c r="D15" s="6">
        <f>INDEX('Points Summary'!$H$4:$H$672,G15)</f>
        <v>67.495156583109292</v>
      </c>
      <c r="E15" s="67">
        <f t="shared" si="0"/>
        <v>0.7053478660479221</v>
      </c>
      <c r="F15" s="5"/>
      <c r="G15" s="4">
        <f>MATCH(B15,'Points Summary'!$B$4:$B$673,0)</f>
        <v>120</v>
      </c>
    </row>
    <row r="16" spans="1:7" x14ac:dyDescent="0.2">
      <c r="A16" s="4">
        <v>11</v>
      </c>
      <c r="B16" s="5" t="s">
        <v>311</v>
      </c>
      <c r="C16" s="222">
        <v>2.6109953703703708E-2</v>
      </c>
      <c r="D16" s="6">
        <f>INDEX('Points Summary'!$H$4:$H$672,G16)</f>
        <v>43.718422824106256</v>
      </c>
      <c r="E16" s="67">
        <f t="shared" si="0"/>
        <v>0.56405317183849069</v>
      </c>
      <c r="F16" s="5"/>
      <c r="G16" s="4">
        <f>MATCH(B16,'Points Summary'!$B$4:$B$673,0)</f>
        <v>63</v>
      </c>
    </row>
    <row r="17" spans="1:7" x14ac:dyDescent="0.2">
      <c r="A17" s="4">
        <v>7</v>
      </c>
      <c r="B17" s="5" t="s">
        <v>345</v>
      </c>
      <c r="C17" s="222">
        <v>1.8925925925925926E-2</v>
      </c>
      <c r="D17" s="6">
        <f>INDEX('Points Summary'!$H$4:$H$672,G17)</f>
        <v>0</v>
      </c>
      <c r="E17" s="67">
        <f t="shared" si="0"/>
        <v>0.77816019468594133</v>
      </c>
      <c r="F17" s="5"/>
      <c r="G17" s="4">
        <f>MATCH(B17,'Points Summary'!$B$4:$B$673,0)</f>
        <v>71</v>
      </c>
    </row>
    <row r="18" spans="1:7" x14ac:dyDescent="0.2">
      <c r="A18" s="4">
        <v>6</v>
      </c>
      <c r="B18" s="5" t="s">
        <v>347</v>
      </c>
      <c r="C18" s="222">
        <v>1.835300925925926E-2</v>
      </c>
      <c r="D18" s="6">
        <f>INDEX('Points Summary'!$H$4:$H$672,G18)</f>
        <v>0</v>
      </c>
      <c r="E18" s="67">
        <f t="shared" si="0"/>
        <v>0.80245163041587386</v>
      </c>
      <c r="F18" s="5"/>
      <c r="G18" s="4">
        <f>MATCH(B18,'Points Summary'!$B$4:$B$673,0)</f>
        <v>128</v>
      </c>
    </row>
  </sheetData>
  <sortState ref="A8:G18">
    <sortCondition descending="1" ref="D8:D18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zoomScaleNormal="100" workbookViewId="0">
      <selection activeCell="B14" sqref="B14"/>
    </sheetView>
  </sheetViews>
  <sheetFormatPr defaultRowHeight="12.75" x14ac:dyDescent="0.2"/>
  <cols>
    <col min="2" max="2" width="25.7109375" customWidth="1"/>
    <col min="3" max="7" width="9.7109375" customWidth="1"/>
    <col min="9" max="9" width="14" customWidth="1"/>
  </cols>
  <sheetData>
    <row r="1" spans="1:7" x14ac:dyDescent="0.2">
      <c r="A1" s="29" t="s">
        <v>10</v>
      </c>
      <c r="B1" s="30" t="s">
        <v>351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43079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241</v>
      </c>
      <c r="C5" s="35"/>
      <c r="D5" s="35"/>
      <c r="E5" s="35" t="s">
        <v>28</v>
      </c>
      <c r="F5" s="52">
        <f>AVERAGE(C8:C10)*(AVERAGE(D8:D10)/100)</f>
        <v>1.6324316759996123E-2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231</v>
      </c>
      <c r="C8" s="222">
        <f>TIME(0,30,17)</f>
        <v>2.1030092592592597E-2</v>
      </c>
      <c r="D8" s="6">
        <f>INDEX('Points Summary'!$H$4:$H$672,G8)</f>
        <v>83.324415222319843</v>
      </c>
      <c r="E8" s="67">
        <f t="shared" ref="E8:E17" si="0">(AVERAGE($D$8:$D$10)/100*AVERAGE($C$8:$C$10))/C8</f>
        <v>0.7762360858908447</v>
      </c>
      <c r="F8" s="5"/>
      <c r="G8" s="4">
        <f>MATCH(B8,'Points Summary'!$B$4:$B$673,0)</f>
        <v>43</v>
      </c>
    </row>
    <row r="9" spans="1:7" x14ac:dyDescent="0.2">
      <c r="A9" s="4">
        <v>2</v>
      </c>
      <c r="B9" s="5" t="s">
        <v>223</v>
      </c>
      <c r="C9" s="222">
        <f>TIME(0,32,16)</f>
        <v>2.2407407407407407E-2</v>
      </c>
      <c r="D9" s="6">
        <f>INDEX('Points Summary'!$H$4:$H$672,G9)</f>
        <v>72.034864861933698</v>
      </c>
      <c r="E9" s="67">
        <f t="shared" si="0"/>
        <v>0.72852322730561214</v>
      </c>
      <c r="F9" s="5"/>
      <c r="G9" s="4">
        <f>MATCH(B9,'Points Summary'!$B$4:$B$673,0)</f>
        <v>59</v>
      </c>
    </row>
    <row r="10" spans="1:7" x14ac:dyDescent="0.2">
      <c r="A10" s="4">
        <v>3</v>
      </c>
      <c r="B10" s="5" t="s">
        <v>243</v>
      </c>
      <c r="C10" s="222">
        <f>TIME(0,32,23)</f>
        <v>2.2488425925925926E-2</v>
      </c>
      <c r="D10" s="6">
        <f>INDEX('Points Summary'!$H$4:$H$672,G10)</f>
        <v>67.495156583109292</v>
      </c>
      <c r="E10" s="67">
        <f t="shared" si="0"/>
        <v>0.72589859395968348</v>
      </c>
      <c r="F10" s="5"/>
      <c r="G10" s="4">
        <f>MATCH(B10,'Points Summary'!$B$4:$B$673,0)</f>
        <v>120</v>
      </c>
    </row>
    <row r="11" spans="1:7" x14ac:dyDescent="0.2">
      <c r="A11" s="4">
        <v>4</v>
      </c>
      <c r="B11" s="5" t="s">
        <v>352</v>
      </c>
      <c r="C11" s="222">
        <f>TIME(0,32,52)</f>
        <v>2.2824074074074076E-2</v>
      </c>
      <c r="D11" s="6">
        <f>INDEX('Points Summary'!$H$4:$H$672,G11)</f>
        <v>0</v>
      </c>
      <c r="E11" s="67">
        <f t="shared" si="0"/>
        <v>0.71522361463674688</v>
      </c>
      <c r="F11" s="5"/>
      <c r="G11" s="4">
        <f>MATCH(B11,'Points Summary'!$B$4:$B$673,0)</f>
        <v>134</v>
      </c>
    </row>
    <row r="12" spans="1:7" x14ac:dyDescent="0.2">
      <c r="A12" s="4">
        <v>5</v>
      </c>
      <c r="B12" s="5" t="s">
        <v>353</v>
      </c>
      <c r="C12" s="222">
        <f>TIME(0,34,5)</f>
        <v>2.3668981481481485E-2</v>
      </c>
      <c r="D12" s="6">
        <f>INDEX('Points Summary'!$H$4:$H$672,G12)</f>
        <v>0</v>
      </c>
      <c r="E12" s="67">
        <f t="shared" si="0"/>
        <v>0.6896924049211075</v>
      </c>
      <c r="F12" s="5"/>
      <c r="G12" s="4">
        <f>MATCH(B12,'Points Summary'!$B$4:$B$673,0)</f>
        <v>22</v>
      </c>
    </row>
    <row r="13" spans="1:7" x14ac:dyDescent="0.2">
      <c r="A13" s="4">
        <v>6</v>
      </c>
      <c r="B13" s="5" t="s">
        <v>370</v>
      </c>
      <c r="C13" s="222">
        <f>TIME(0,34,47)</f>
        <v>2.4155092592592589E-2</v>
      </c>
      <c r="D13" s="6">
        <f>INDEX('Points Summary'!$H$4:$H$672,G13)</f>
        <v>0</v>
      </c>
      <c r="E13" s="67">
        <f t="shared" si="0"/>
        <v>0.67581263443395556</v>
      </c>
      <c r="F13" s="5"/>
      <c r="G13" s="4">
        <f>MATCH(B13,'Points Summary'!$B$4:$B$673,0)</f>
        <v>135</v>
      </c>
    </row>
    <row r="14" spans="1:7" x14ac:dyDescent="0.2">
      <c r="A14" s="4">
        <v>7</v>
      </c>
      <c r="B14" s="5" t="s">
        <v>354</v>
      </c>
      <c r="C14" s="222">
        <f>TIME(0,37,20)</f>
        <v>2.5925925925925925E-2</v>
      </c>
      <c r="D14" s="6">
        <f>INDEX('Points Summary'!$H$4:$H$672,G14)</f>
        <v>0</v>
      </c>
      <c r="E14" s="67">
        <f t="shared" si="0"/>
        <v>0.6296522178855648</v>
      </c>
      <c r="F14" s="5"/>
      <c r="G14" s="4">
        <f>MATCH(B14,'Points Summary'!$B$4:$B$673,0)</f>
        <v>62</v>
      </c>
    </row>
    <row r="15" spans="1:7" x14ac:dyDescent="0.2">
      <c r="A15" s="4">
        <v>8</v>
      </c>
      <c r="B15" s="5" t="s">
        <v>355</v>
      </c>
      <c r="C15" s="222">
        <f>TIME(0,41,37)</f>
        <v>2.8900462962962961E-2</v>
      </c>
      <c r="D15" s="6">
        <f>INDEX('Points Summary'!$H$4:$H$672,G15)</f>
        <v>0</v>
      </c>
      <c r="E15" s="67">
        <f t="shared" si="0"/>
        <v>0.56484620266866847</v>
      </c>
      <c r="F15" s="5"/>
      <c r="G15" s="4">
        <f>MATCH(B15,'Points Summary'!$B$4:$B$673,0)</f>
        <v>23</v>
      </c>
    </row>
    <row r="16" spans="1:7" x14ac:dyDescent="0.2">
      <c r="A16" s="4">
        <v>9</v>
      </c>
      <c r="B16" s="5" t="s">
        <v>356</v>
      </c>
      <c r="C16" s="222">
        <f>TIME(0,42,8)</f>
        <v>2.9259259259259259E-2</v>
      </c>
      <c r="D16" s="6">
        <f>INDEX('Points Summary'!$H$4:$H$672,G16)</f>
        <v>0</v>
      </c>
      <c r="E16" s="67">
        <f t="shared" si="0"/>
        <v>0.55791968673404468</v>
      </c>
      <c r="F16" s="5"/>
      <c r="G16" s="4">
        <f>MATCH(B16,'Points Summary'!$B$4:$B$673,0)</f>
        <v>138</v>
      </c>
    </row>
    <row r="17" spans="1:7" x14ac:dyDescent="0.2">
      <c r="A17" s="4">
        <v>10</v>
      </c>
      <c r="B17" s="5" t="s">
        <v>357</v>
      </c>
      <c r="C17" s="222">
        <f>TIME(0,42,40)</f>
        <v>2.9629629629629627E-2</v>
      </c>
      <c r="D17" s="6">
        <f>INDEX('Points Summary'!$H$4:$H$672,G17)</f>
        <v>0</v>
      </c>
      <c r="E17" s="67">
        <f t="shared" si="0"/>
        <v>0.5509456906498692</v>
      </c>
      <c r="F17" s="5"/>
      <c r="G17" s="4">
        <f>MATCH(B17,'Points Summary'!$B$4:$B$673,0)</f>
        <v>139</v>
      </c>
    </row>
    <row r="18" spans="1:7" x14ac:dyDescent="0.2">
      <c r="A18" s="63"/>
      <c r="B18" s="5"/>
      <c r="C18" s="65"/>
      <c r="D18" s="6"/>
      <c r="E18" s="41"/>
      <c r="F18" s="5"/>
      <c r="G18" s="4"/>
    </row>
    <row r="19" spans="1:7" x14ac:dyDescent="0.2">
      <c r="A19" s="63"/>
      <c r="B19" s="5"/>
      <c r="C19" s="65"/>
      <c r="D19" s="6"/>
      <c r="E19" s="41"/>
      <c r="F19" s="5"/>
      <c r="G19" s="4"/>
    </row>
  </sheetData>
  <sortState ref="A8:G17">
    <sortCondition descending="1" ref="D8:D12"/>
  </sortState>
  <phoneticPr fontId="0" type="noConversion"/>
  <printOptions horizontalCentered="1"/>
  <pageMargins left="0.75" right="0.75" top="1.25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8" workbookViewId="0">
      <selection activeCell="B9" sqref="B9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358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43097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349</v>
      </c>
      <c r="C5" s="35"/>
      <c r="D5" s="35"/>
      <c r="E5" s="35" t="s">
        <v>28</v>
      </c>
      <c r="F5" s="52">
        <f>AVERAGE(C8:C10)*(AVERAGE(D8:D10)/100)</f>
        <v>1.3304064804700819E-2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2</v>
      </c>
      <c r="B8" s="5" t="s">
        <v>227</v>
      </c>
      <c r="C8" s="222">
        <f>TIME(0,25,59.4)</f>
        <v>1.8043981481481484E-2</v>
      </c>
      <c r="D8" s="6">
        <f>INDEX('Points Summary'!$H$4:$H$672,G8)</f>
        <v>73.569229292987899</v>
      </c>
      <c r="E8" s="67">
        <f t="shared" ref="E8:E32" si="0">(AVERAGE($D$8:$D$10)/100*AVERAGE($C$8:$C$10))/C8</f>
        <v>0.73731314889425958</v>
      </c>
      <c r="F8" s="5"/>
      <c r="G8" s="4">
        <f>MATCH(B8,'Points Summary'!$B$4:$B$673,0)</f>
        <v>77</v>
      </c>
    </row>
    <row r="9" spans="1:7" x14ac:dyDescent="0.2">
      <c r="A9" s="4">
        <v>5</v>
      </c>
      <c r="B9" s="5" t="s">
        <v>451</v>
      </c>
      <c r="C9" s="222">
        <f>TIME(0,26,43.2)</f>
        <v>1.8553240740740742E-2</v>
      </c>
      <c r="D9" s="6">
        <f>INDEX('Points Summary'!$H$4:$H$672,G9)</f>
        <v>72.602683207822508</v>
      </c>
      <c r="E9" s="67">
        <f t="shared" si="0"/>
        <v>0.71707498385910839</v>
      </c>
      <c r="F9" s="5"/>
      <c r="G9" s="4">
        <f>MATCH(B9,'Points Summary'!$B$4:$B$673,0)</f>
        <v>85</v>
      </c>
    </row>
    <row r="10" spans="1:7" x14ac:dyDescent="0.2">
      <c r="A10" s="4">
        <v>6</v>
      </c>
      <c r="B10" s="5" t="s">
        <v>242</v>
      </c>
      <c r="C10" s="222">
        <f>TIME(0,27,0.4)</f>
        <v>1.8749999999999999E-2</v>
      </c>
      <c r="D10" s="6">
        <f>INDEX('Points Summary'!$H$4:$H$672,G10)</f>
        <v>70.165201512894257</v>
      </c>
      <c r="E10" s="67">
        <f t="shared" si="0"/>
        <v>0.70955012291737707</v>
      </c>
      <c r="F10" s="5"/>
      <c r="G10" s="4">
        <f>MATCH(B10,'Points Summary'!$B$4:$B$673,0)</f>
        <v>54</v>
      </c>
    </row>
    <row r="11" spans="1:7" x14ac:dyDescent="0.2">
      <c r="A11" s="4">
        <v>7</v>
      </c>
      <c r="B11" s="5" t="s">
        <v>360</v>
      </c>
      <c r="C11" s="222">
        <f>TIME(0,28,5.2)</f>
        <v>1.9502314814814816E-2</v>
      </c>
      <c r="D11" s="6">
        <f>INDEX('Points Summary'!$H$4:$H$672,G11)</f>
        <v>69.782843845657382</v>
      </c>
      <c r="E11" s="67">
        <f t="shared" si="0"/>
        <v>0.68217875319059385</v>
      </c>
      <c r="F11" s="5"/>
      <c r="G11" s="4">
        <f>MATCH(B11,'Points Summary'!$B$4:$B$673,0)</f>
        <v>86</v>
      </c>
    </row>
    <row r="12" spans="1:7" x14ac:dyDescent="0.2">
      <c r="A12" s="4">
        <v>1</v>
      </c>
      <c r="B12" s="5" t="s">
        <v>245</v>
      </c>
      <c r="C12" s="222">
        <f>TIME(0,25,17)</f>
        <v>1.7557870370370373E-2</v>
      </c>
      <c r="D12" s="6">
        <f>INDEX('Points Summary'!$H$4:$H$672,G12)</f>
        <v>69.141344102881888</v>
      </c>
      <c r="E12" s="67">
        <f t="shared" si="0"/>
        <v>0.75772656501394242</v>
      </c>
      <c r="F12" s="5"/>
      <c r="G12" s="4">
        <f>MATCH(B12,'Points Summary'!$B$4:$B$673,0)</f>
        <v>142</v>
      </c>
    </row>
    <row r="13" spans="1:7" x14ac:dyDescent="0.2">
      <c r="A13" s="4">
        <v>9</v>
      </c>
      <c r="B13" s="5" t="s">
        <v>268</v>
      </c>
      <c r="C13" s="222">
        <f>TIME(0,28,40.7)</f>
        <v>1.9907407407407408E-2</v>
      </c>
      <c r="D13" s="6">
        <f>INDEX('Points Summary'!$H$4:$H$672,G13)</f>
        <v>68.802017923220845</v>
      </c>
      <c r="E13" s="67">
        <f t="shared" si="0"/>
        <v>0.66829720879427368</v>
      </c>
      <c r="F13" s="5"/>
      <c r="G13" s="4">
        <f>MATCH(B13,'Points Summary'!$B$4:$B$673,0)</f>
        <v>5</v>
      </c>
    </row>
    <row r="14" spans="1:7" x14ac:dyDescent="0.2">
      <c r="A14" s="4">
        <v>3</v>
      </c>
      <c r="B14" s="5" t="s">
        <v>243</v>
      </c>
      <c r="C14" s="222">
        <f>TIME(0,26,24.3)</f>
        <v>1.8333333333333333E-2</v>
      </c>
      <c r="D14" s="6">
        <f>INDEX('Points Summary'!$H$4:$H$672,G14)</f>
        <v>67.495156583109292</v>
      </c>
      <c r="E14" s="67">
        <f t="shared" si="0"/>
        <v>0.72567626207459013</v>
      </c>
      <c r="F14" s="5"/>
      <c r="G14" s="4">
        <f>MATCH(B14,'Points Summary'!$B$4:$B$673,0)</f>
        <v>120</v>
      </c>
    </row>
    <row r="15" spans="1:7" x14ac:dyDescent="0.2">
      <c r="A15" s="4">
        <v>8</v>
      </c>
      <c r="B15" s="5" t="s">
        <v>252</v>
      </c>
      <c r="C15" s="222">
        <f>TIME(0,28,5.2)</f>
        <v>1.9502314814814816E-2</v>
      </c>
      <c r="D15" s="6">
        <f>INDEX('Points Summary'!$H$4:$H$672,G15)</f>
        <v>66.367715995604314</v>
      </c>
      <c r="E15" s="67">
        <f t="shared" si="0"/>
        <v>0.68217875319059385</v>
      </c>
      <c r="F15" s="5"/>
      <c r="G15" s="4">
        <f>MATCH(B15,'Points Summary'!$B$4:$B$673,0)</f>
        <v>147</v>
      </c>
    </row>
    <row r="16" spans="1:7" x14ac:dyDescent="0.2">
      <c r="A16" s="4">
        <v>12</v>
      </c>
      <c r="B16" s="5" t="s">
        <v>253</v>
      </c>
      <c r="C16" s="222">
        <f>TIME(0,28,50.4)</f>
        <v>2.0023148148148148E-2</v>
      </c>
      <c r="D16" s="6">
        <f>INDEX('Points Summary'!$H$4:$H$672,G16)</f>
        <v>63.938704673516384</v>
      </c>
      <c r="E16" s="67">
        <f t="shared" si="0"/>
        <v>0.664434219148064</v>
      </c>
      <c r="F16" s="5"/>
      <c r="G16" s="4">
        <f>MATCH(B16,'Points Summary'!$B$4:$B$673,0)</f>
        <v>10</v>
      </c>
    </row>
    <row r="17" spans="1:7" x14ac:dyDescent="0.2">
      <c r="A17" s="4">
        <v>21</v>
      </c>
      <c r="B17" s="5" t="s">
        <v>250</v>
      </c>
      <c r="C17" s="222">
        <f>TIME(0,31,59.2)</f>
        <v>2.2210648148148149E-2</v>
      </c>
      <c r="D17" s="6">
        <f>INDEX('Points Summary'!$H$4:$H$672,G17)</f>
        <v>62.908504485722865</v>
      </c>
      <c r="E17" s="67">
        <f t="shared" si="0"/>
        <v>0.59899489271816087</v>
      </c>
      <c r="F17" s="5"/>
      <c r="G17" s="4">
        <f>MATCH(B17,'Points Summary'!$B$4:$B$673,0)</f>
        <v>26</v>
      </c>
    </row>
    <row r="18" spans="1:7" x14ac:dyDescent="0.2">
      <c r="A18" s="4">
        <v>24</v>
      </c>
      <c r="B18" s="5" t="s">
        <v>255</v>
      </c>
      <c r="C18" s="222">
        <f>TIME(0,35,38.3)</f>
        <v>2.4745370370370372E-2</v>
      </c>
      <c r="D18" s="6">
        <f>INDEX('Points Summary'!$H$4:$H$672,G18)</f>
        <v>52.736327066935715</v>
      </c>
      <c r="E18" s="67">
        <f t="shared" si="0"/>
        <v>0.53763854028351299</v>
      </c>
      <c r="F18" s="5"/>
      <c r="G18" s="4">
        <f>MATCH(B18,'Points Summary'!$B$4:$B$673,0)</f>
        <v>31</v>
      </c>
    </row>
    <row r="19" spans="1:7" x14ac:dyDescent="0.2">
      <c r="A19" s="4">
        <v>4</v>
      </c>
      <c r="B19" s="5" t="s">
        <v>359</v>
      </c>
      <c r="C19" s="222">
        <f>TIME(0,26,42.4)</f>
        <v>1.8541666666666668E-2</v>
      </c>
      <c r="D19" s="6">
        <f>INDEX('Points Summary'!$H$4:$H$672,G19)</f>
        <v>0</v>
      </c>
      <c r="E19" s="67">
        <f t="shared" si="0"/>
        <v>0.7175225962085835</v>
      </c>
      <c r="F19" s="5"/>
      <c r="G19" s="4">
        <f>MATCH(B19,'Points Summary'!$B$4:$B$673,0)</f>
        <v>53</v>
      </c>
    </row>
    <row r="20" spans="1:7" x14ac:dyDescent="0.2">
      <c r="A20" s="4">
        <v>10</v>
      </c>
      <c r="B20" s="5" t="s">
        <v>361</v>
      </c>
      <c r="C20" s="222">
        <f>TIME(0,28,45.5)</f>
        <v>1.996527777777778E-2</v>
      </c>
      <c r="D20" s="6">
        <f>INDEX('Points Summary'!$H$4:$H$672,G20)</f>
        <v>0</v>
      </c>
      <c r="E20" s="67">
        <f t="shared" si="0"/>
        <v>0.66636011543544971</v>
      </c>
      <c r="F20" s="5"/>
      <c r="G20" s="4">
        <f>MATCH(B20,'Points Summary'!$B$4:$B$673,0)</f>
        <v>83</v>
      </c>
    </row>
    <row r="21" spans="1:7" x14ac:dyDescent="0.2">
      <c r="A21" s="4">
        <v>11</v>
      </c>
      <c r="B21" s="5" t="s">
        <v>362</v>
      </c>
      <c r="C21" s="222">
        <f>TIME(0,28,48.7)</f>
        <v>0.02</v>
      </c>
      <c r="D21" s="6">
        <f>INDEX('Points Summary'!$H$4:$H$672,G21)</f>
        <v>0</v>
      </c>
      <c r="E21" s="67">
        <f t="shared" si="0"/>
        <v>0.66520324023504096</v>
      </c>
      <c r="F21" s="5"/>
      <c r="G21" s="4">
        <f>MATCH(B21,'Points Summary'!$B$4:$B$673,0)</f>
        <v>65</v>
      </c>
    </row>
    <row r="22" spans="1:7" x14ac:dyDescent="0.2">
      <c r="A22" s="4">
        <v>13</v>
      </c>
      <c r="B22" s="5" t="s">
        <v>363</v>
      </c>
      <c r="C22" s="222">
        <f>TIME(0,29,29.3)</f>
        <v>2.0474537037037038E-2</v>
      </c>
      <c r="D22" s="6">
        <f>INDEX('Points Summary'!$H$4:$H$672,G22)</f>
        <v>0</v>
      </c>
      <c r="E22" s="67">
        <f t="shared" si="0"/>
        <v>0.64978586722789755</v>
      </c>
      <c r="F22" s="5"/>
      <c r="G22" s="4">
        <f>MATCH(B22,'Points Summary'!$B$4:$B$673,0)</f>
        <v>80</v>
      </c>
    </row>
    <row r="23" spans="1:7" x14ac:dyDescent="0.2">
      <c r="A23" s="4">
        <v>14</v>
      </c>
      <c r="B23" s="5" t="s">
        <v>364</v>
      </c>
      <c r="C23" s="222">
        <f>TIME(0,29,45.4)</f>
        <v>2.0659722222222222E-2</v>
      </c>
      <c r="D23" s="6">
        <f>INDEX('Points Summary'!$H$4:$H$672,G23)</f>
        <v>0</v>
      </c>
      <c r="E23" s="67">
        <f t="shared" si="0"/>
        <v>0.64396145609308164</v>
      </c>
      <c r="F23" s="5"/>
      <c r="G23" s="4">
        <f>MATCH(B23,'Points Summary'!$B$4:$B$673,0)</f>
        <v>20</v>
      </c>
    </row>
    <row r="24" spans="1:7" x14ac:dyDescent="0.2">
      <c r="A24" s="4">
        <v>15</v>
      </c>
      <c r="B24" s="5" t="s">
        <v>365</v>
      </c>
      <c r="C24" s="222">
        <f>TIME(0,29,47.1)</f>
        <v>2.0682870370370372E-2</v>
      </c>
      <c r="D24" s="6" t="e">
        <f>INDEX('Points Summary'!$H$4:$H$672,G24)</f>
        <v>#N/A</v>
      </c>
      <c r="E24" s="67">
        <f t="shared" si="0"/>
        <v>0.64324073817915539</v>
      </c>
      <c r="F24" s="5"/>
      <c r="G24" s="4" t="e">
        <f>MATCH(B24,'Points Summary'!$B$4:$B$673,0)</f>
        <v>#N/A</v>
      </c>
    </row>
    <row r="25" spans="1:7" x14ac:dyDescent="0.2">
      <c r="A25" s="4">
        <v>16</v>
      </c>
      <c r="B25" s="5" t="s">
        <v>353</v>
      </c>
      <c r="C25" s="222">
        <f>TIME(0,29,50.2)</f>
        <v>2.071759259259259E-2</v>
      </c>
      <c r="D25" s="6">
        <f>INDEX('Points Summary'!$H$4:$H$672,G25)</f>
        <v>0</v>
      </c>
      <c r="E25" s="67">
        <f t="shared" si="0"/>
        <v>0.642162681076062</v>
      </c>
      <c r="F25" s="5"/>
      <c r="G25" s="4">
        <f>MATCH(B25,'Points Summary'!$B$4:$B$673,0)</f>
        <v>22</v>
      </c>
    </row>
    <row r="26" spans="1:7" x14ac:dyDescent="0.2">
      <c r="A26" s="4">
        <v>17</v>
      </c>
      <c r="B26" s="5" t="s">
        <v>355</v>
      </c>
      <c r="C26" s="222">
        <f>TIME(0,30,10.4)</f>
        <v>2.0949074074074075E-2</v>
      </c>
      <c r="D26" s="6">
        <f>INDEX('Points Summary'!$H$4:$H$672,G26)</f>
        <v>0</v>
      </c>
      <c r="E26" s="67">
        <f t="shared" si="0"/>
        <v>0.63506696084317715</v>
      </c>
      <c r="F26" s="5"/>
      <c r="G26" s="4">
        <f>MATCH(B26,'Points Summary'!$B$4:$B$673,0)</f>
        <v>23</v>
      </c>
    </row>
    <row r="27" spans="1:7" x14ac:dyDescent="0.2">
      <c r="A27" s="4">
        <v>18</v>
      </c>
      <c r="B27" s="5" t="s">
        <v>370</v>
      </c>
      <c r="C27" s="222">
        <f>TIME(0,30,20.9)</f>
        <v>2.1064814814814814E-2</v>
      </c>
      <c r="D27" s="6">
        <f>INDEX('Points Summary'!$H$4:$H$672,G27)</f>
        <v>0</v>
      </c>
      <c r="E27" s="67">
        <f t="shared" si="0"/>
        <v>0.63157758193744551</v>
      </c>
      <c r="F27" s="5"/>
      <c r="G27" s="4">
        <f>MATCH(B27,'Points Summary'!$B$4:$B$673,0)</f>
        <v>135</v>
      </c>
    </row>
    <row r="28" spans="1:7" x14ac:dyDescent="0.2">
      <c r="A28" s="4">
        <v>19</v>
      </c>
      <c r="B28" s="5" t="s">
        <v>366</v>
      </c>
      <c r="C28" s="222">
        <f>TIME(0,30,52.1)</f>
        <v>2.1435185185185186E-2</v>
      </c>
      <c r="D28" s="6">
        <f>INDEX('Points Summary'!$H$4:$H$672,G28)</f>
        <v>0</v>
      </c>
      <c r="E28" s="67">
        <f t="shared" si="0"/>
        <v>0.62066479434457378</v>
      </c>
      <c r="F28" s="5"/>
      <c r="G28" s="4">
        <f>MATCH(B28,'Points Summary'!$B$4:$B$673,0)</f>
        <v>45</v>
      </c>
    </row>
    <row r="29" spans="1:7" x14ac:dyDescent="0.2">
      <c r="A29" s="4">
        <v>20</v>
      </c>
      <c r="B29" s="5" t="s">
        <v>367</v>
      </c>
      <c r="C29" s="222">
        <f>TIME(0,31,50.4)</f>
        <v>2.210648148148148E-2</v>
      </c>
      <c r="D29" s="6">
        <f>INDEX('Points Summary'!$H$4:$H$672,G29)</f>
        <v>0</v>
      </c>
      <c r="E29" s="67">
        <f t="shared" si="0"/>
        <v>0.60181738174144017</v>
      </c>
      <c r="F29" s="5"/>
      <c r="G29" s="4">
        <f>MATCH(B29,'Points Summary'!$B$4:$B$673,0)</f>
        <v>149</v>
      </c>
    </row>
    <row r="30" spans="1:7" x14ac:dyDescent="0.2">
      <c r="A30" s="4">
        <v>22</v>
      </c>
      <c r="B30" s="5" t="s">
        <v>352</v>
      </c>
      <c r="C30" s="222">
        <f>TIME(0,32,16.2)</f>
        <v>2.2407407407407407E-2</v>
      </c>
      <c r="D30" s="6">
        <f>INDEX('Points Summary'!$H$4:$H$672,G30)</f>
        <v>0</v>
      </c>
      <c r="E30" s="67">
        <f t="shared" si="0"/>
        <v>0.59373512351557378</v>
      </c>
      <c r="F30" s="5"/>
      <c r="G30" s="4">
        <f>MATCH(B30,'Points Summary'!$B$4:$B$673,0)</f>
        <v>134</v>
      </c>
    </row>
    <row r="31" spans="1:7" x14ac:dyDescent="0.2">
      <c r="A31" s="4">
        <v>23</v>
      </c>
      <c r="B31" s="5" t="s">
        <v>368</v>
      </c>
      <c r="C31" s="222">
        <f>TIME(0,32,35.5)</f>
        <v>2.2627314814814819E-2</v>
      </c>
      <c r="D31" s="6">
        <f>INDEX('Points Summary'!$H$4:$H$672,G31)</f>
        <v>0</v>
      </c>
      <c r="E31" s="67">
        <f t="shared" si="0"/>
        <v>0.58796480773716142</v>
      </c>
      <c r="F31" s="5"/>
      <c r="G31" s="4">
        <f>MATCH(B31,'Points Summary'!$B$4:$B$673,0)</f>
        <v>36</v>
      </c>
    </row>
    <row r="32" spans="1:7" x14ac:dyDescent="0.2">
      <c r="A32" s="4">
        <v>25</v>
      </c>
      <c r="B32" s="5" t="s">
        <v>369</v>
      </c>
      <c r="C32" s="222">
        <f>TIME(0,41,29.5)</f>
        <v>2.8807870370370373E-2</v>
      </c>
      <c r="D32" s="6">
        <f>INDEX('Points Summary'!$H$4:$H$672,G32)</f>
        <v>0</v>
      </c>
      <c r="E32" s="67">
        <f t="shared" si="0"/>
        <v>0.46182048980560492</v>
      </c>
      <c r="F32" s="5"/>
      <c r="G32" s="4">
        <f>MATCH(B32,'Points Summary'!$B$4:$B$673,0)</f>
        <v>56</v>
      </c>
    </row>
    <row r="33" spans="1:6" x14ac:dyDescent="0.2">
      <c r="A33" s="4"/>
      <c r="B33" s="5"/>
      <c r="C33" s="222"/>
      <c r="D33" s="6"/>
      <c r="E33" s="67"/>
      <c r="F33" s="5"/>
    </row>
    <row r="34" spans="1:6" x14ac:dyDescent="0.2">
      <c r="A34" s="4"/>
      <c r="B34" s="5"/>
      <c r="C34" s="222"/>
      <c r="D34" s="6"/>
      <c r="E34" s="67"/>
      <c r="F34" s="5"/>
    </row>
    <row r="35" spans="1:6" x14ac:dyDescent="0.2">
      <c r="A35" s="4"/>
      <c r="B35" s="5"/>
      <c r="C35" s="222"/>
      <c r="D35" s="6"/>
      <c r="E35" s="67"/>
      <c r="F35" s="5"/>
    </row>
    <row r="36" spans="1:6" x14ac:dyDescent="0.2">
      <c r="A36" s="4"/>
      <c r="B36" s="5"/>
      <c r="C36" s="222"/>
      <c r="D36" s="6"/>
      <c r="E36" s="67"/>
      <c r="F36" s="5"/>
    </row>
    <row r="37" spans="1:6" x14ac:dyDescent="0.2">
      <c r="A37" s="4"/>
      <c r="B37" s="5"/>
      <c r="C37" s="222"/>
      <c r="D37" s="6"/>
      <c r="E37" s="67"/>
      <c r="F37" s="5"/>
    </row>
    <row r="38" spans="1:6" x14ac:dyDescent="0.2">
      <c r="A38" s="4"/>
      <c r="B38" s="5"/>
      <c r="C38" s="222"/>
      <c r="D38" s="6"/>
      <c r="E38" s="67"/>
      <c r="F38" s="5"/>
    </row>
    <row r="39" spans="1:6" x14ac:dyDescent="0.2">
      <c r="A39" s="4"/>
      <c r="B39" s="5"/>
      <c r="C39" s="222"/>
      <c r="D39" s="6"/>
      <c r="E39" s="67"/>
      <c r="F39" s="5"/>
    </row>
    <row r="40" spans="1:6" x14ac:dyDescent="0.2">
      <c r="A40" s="4"/>
      <c r="B40" s="5"/>
      <c r="C40" s="222"/>
      <c r="D40" s="6"/>
      <c r="E40" s="67"/>
      <c r="F40" s="5"/>
    </row>
    <row r="41" spans="1:6" x14ac:dyDescent="0.2">
      <c r="A41" s="4"/>
      <c r="B41" s="5"/>
      <c r="C41" s="222"/>
      <c r="D41" s="6"/>
      <c r="E41" s="67"/>
      <c r="F41" s="5"/>
    </row>
  </sheetData>
  <sortState ref="A8:G32">
    <sortCondition ref="C19:C32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6" workbookViewId="0">
      <selection activeCell="B9" sqref="B9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371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43098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349</v>
      </c>
      <c r="C5" s="35"/>
      <c r="D5" s="35"/>
      <c r="E5" s="35" t="s">
        <v>28</v>
      </c>
      <c r="F5" s="52">
        <f>AVERAGE(C8:C10)*(AVERAGE(D8:D10)/100)</f>
        <v>1.1274791515585641E-2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227</v>
      </c>
      <c r="C8" s="222">
        <v>1.4728009259259258E-2</v>
      </c>
      <c r="D8" s="6">
        <f>INDEX('Points Summary'!$H$4:$H$672,G8)</f>
        <v>73.569229292987899</v>
      </c>
      <c r="E8" s="67">
        <f>(AVERAGE($D$8:$D$10)/100*AVERAGE($C$8:$C$10))/C8</f>
        <v>0.76553397795410572</v>
      </c>
      <c r="F8" s="5"/>
      <c r="G8" s="4">
        <f>MATCH(B8,'Points Summary'!$B$4:$B$673,0)</f>
        <v>77</v>
      </c>
      <c r="I8" s="56"/>
    </row>
    <row r="9" spans="1:9" x14ac:dyDescent="0.2">
      <c r="A9" s="4">
        <v>7</v>
      </c>
      <c r="B9" s="5" t="s">
        <v>451</v>
      </c>
      <c r="C9" s="222">
        <v>1.6280092592592593E-2</v>
      </c>
      <c r="D9" s="6">
        <f>INDEX('Points Summary'!$H$4:$H$672,G9)</f>
        <v>72.602683207822508</v>
      </c>
      <c r="E9" s="67">
        <f t="shared" ref="E9:E15" si="0">(AVERAGE($D$8:$D$10)/100*AVERAGE($C$8:$C$10))/C9</f>
        <v>0.69255082251286748</v>
      </c>
      <c r="F9" s="5"/>
      <c r="G9" s="4">
        <f>MATCH(B9,'Points Summary'!$B$4:$B$673,0)</f>
        <v>85</v>
      </c>
      <c r="I9" s="57"/>
    </row>
    <row r="10" spans="1:9" x14ac:dyDescent="0.2">
      <c r="A10" s="4">
        <v>5</v>
      </c>
      <c r="B10" s="5" t="s">
        <v>242</v>
      </c>
      <c r="C10" s="222">
        <v>1.5896990740740739E-2</v>
      </c>
      <c r="D10" s="6">
        <f>INDEX('Points Summary'!$H$4:$H$672,G10)</f>
        <v>70.165201512894257</v>
      </c>
      <c r="E10" s="67">
        <f t="shared" si="0"/>
        <v>0.70924061663385474</v>
      </c>
      <c r="F10" s="5"/>
      <c r="G10" s="4">
        <f>MATCH(B10,'Points Summary'!$B$4:$B$673,0)</f>
        <v>54</v>
      </c>
      <c r="I10" s="56"/>
    </row>
    <row r="11" spans="1:9" x14ac:dyDescent="0.2">
      <c r="A11" s="4">
        <v>6</v>
      </c>
      <c r="B11" s="5" t="s">
        <v>360</v>
      </c>
      <c r="C11" s="222">
        <v>1.5975694444444442E-2</v>
      </c>
      <c r="D11" s="6">
        <f>INDEX('Points Summary'!$H$4:$H$672,G11)</f>
        <v>69.782843845657382</v>
      </c>
      <c r="E11" s="67">
        <f t="shared" si="0"/>
        <v>0.70574656737419372</v>
      </c>
      <c r="F11" s="5"/>
      <c r="G11" s="4">
        <f>MATCH(B11,'Points Summary'!$B$4:$B$673,0)</f>
        <v>86</v>
      </c>
      <c r="I11" s="57"/>
    </row>
    <row r="12" spans="1:9" x14ac:dyDescent="0.2">
      <c r="A12" s="4">
        <v>2</v>
      </c>
      <c r="B12" s="5" t="s">
        <v>245</v>
      </c>
      <c r="C12" s="222">
        <v>1.5590277777777778E-2</v>
      </c>
      <c r="D12" s="6">
        <f>INDEX('Points Summary'!$H$4:$H$672,G12)</f>
        <v>69.141344102881888</v>
      </c>
      <c r="E12" s="67">
        <f t="shared" si="0"/>
        <v>0.72319375422910126</v>
      </c>
      <c r="F12" s="5"/>
      <c r="G12" s="4">
        <f>MATCH(B12,'Points Summary'!$B$4:$B$673,0)</f>
        <v>142</v>
      </c>
      <c r="I12" s="56"/>
    </row>
    <row r="13" spans="1:9" x14ac:dyDescent="0.2">
      <c r="A13" s="4">
        <v>12</v>
      </c>
      <c r="B13" s="5" t="s">
        <v>268</v>
      </c>
      <c r="C13" s="222">
        <v>1.7057870370370369E-2</v>
      </c>
      <c r="D13" s="6">
        <f>INDEX('Points Summary'!$H$4:$H$672,G13)</f>
        <v>68.802017923220845</v>
      </c>
      <c r="E13" s="67">
        <f t="shared" si="0"/>
        <v>0.66097298612199717</v>
      </c>
      <c r="F13" s="5"/>
      <c r="G13" s="4">
        <f>MATCH(B13,'Points Summary'!$B$4:$B$673,0)</f>
        <v>5</v>
      </c>
      <c r="I13" s="58"/>
    </row>
    <row r="14" spans="1:9" x14ac:dyDescent="0.2">
      <c r="A14" s="4">
        <v>10</v>
      </c>
      <c r="B14" s="5" t="s">
        <v>243</v>
      </c>
      <c r="C14" s="222">
        <v>1.6671296296296299E-2</v>
      </c>
      <c r="D14" s="6">
        <f>INDEX('Points Summary'!$H$4:$H$672,G14)</f>
        <v>67.495156583109292</v>
      </c>
      <c r="E14" s="67">
        <f t="shared" si="0"/>
        <v>0.67629962992682535</v>
      </c>
      <c r="F14" s="5"/>
      <c r="G14" s="4">
        <f>MATCH(B14,'Points Summary'!$B$4:$B$673,0)</f>
        <v>120</v>
      </c>
      <c r="I14" s="56"/>
    </row>
    <row r="15" spans="1:9" x14ac:dyDescent="0.2">
      <c r="A15" s="4">
        <v>11</v>
      </c>
      <c r="B15" s="5" t="s">
        <v>252</v>
      </c>
      <c r="C15" s="222">
        <v>1.6768518518518519E-2</v>
      </c>
      <c r="D15" s="6">
        <f>INDEX('Points Summary'!$H$4:$H$672,G15)</f>
        <v>66.367715995604314</v>
      </c>
      <c r="E15" s="67">
        <f t="shared" si="0"/>
        <v>0.67237851114480907</v>
      </c>
      <c r="F15" s="5"/>
      <c r="G15" s="4">
        <f>MATCH(B15,'Points Summary'!$B$4:$B$673,0)</f>
        <v>147</v>
      </c>
      <c r="I15" s="56"/>
    </row>
    <row r="16" spans="1:9" x14ac:dyDescent="0.2">
      <c r="A16" s="4">
        <v>3</v>
      </c>
      <c r="B16" s="5" t="s">
        <v>253</v>
      </c>
      <c r="C16" s="222">
        <v>1.5855324074074074E-2</v>
      </c>
      <c r="D16" s="6">
        <f>INDEX('Points Summary'!$H$4:$H$672,G16)</f>
        <v>63.938704673516384</v>
      </c>
      <c r="E16" s="67">
        <f t="shared" ref="E16:E31" si="1">(AVERAGE($D$8:$D$10)/100*AVERAGE($C$8:$C$10))/C16</f>
        <v>0.71110445065085004</v>
      </c>
      <c r="F16" s="5"/>
      <c r="G16" s="4">
        <f>MATCH(B16,'Points Summary'!$B$4:$B$673,0)</f>
        <v>10</v>
      </c>
      <c r="I16" s="56"/>
    </row>
    <row r="17" spans="1:9" x14ac:dyDescent="0.2">
      <c r="A17" s="4">
        <v>19</v>
      </c>
      <c r="B17" s="5" t="s">
        <v>250</v>
      </c>
      <c r="C17" s="222">
        <v>1.8873842592592591E-2</v>
      </c>
      <c r="D17" s="6">
        <f>INDEX('Points Summary'!$H$4:$H$672,G17)</f>
        <v>62.908504485722865</v>
      </c>
      <c r="E17" s="67">
        <f t="shared" si="1"/>
        <v>0.59737657873710648</v>
      </c>
      <c r="F17" s="5"/>
      <c r="G17" s="4">
        <f>MATCH(B17,'Points Summary'!$B$4:$B$673,0)</f>
        <v>26</v>
      </c>
      <c r="I17" s="56"/>
    </row>
    <row r="18" spans="1:9" x14ac:dyDescent="0.2">
      <c r="A18" s="4">
        <v>23</v>
      </c>
      <c r="B18" s="5" t="s">
        <v>255</v>
      </c>
      <c r="C18" s="222">
        <v>1.9741898148148151E-2</v>
      </c>
      <c r="D18" s="6">
        <f>INDEX('Points Summary'!$H$4:$H$672,G18)</f>
        <v>52.736327066935715</v>
      </c>
      <c r="E18" s="67">
        <f t="shared" si="1"/>
        <v>0.57110980063704009</v>
      </c>
      <c r="F18" s="5"/>
      <c r="G18" s="4">
        <f>MATCH(B18,'Points Summary'!$B$4:$B$673,0)</f>
        <v>31</v>
      </c>
      <c r="I18" s="56"/>
    </row>
    <row r="19" spans="1:9" x14ac:dyDescent="0.2">
      <c r="A19" s="4">
        <v>16</v>
      </c>
      <c r="B19" s="5" t="s">
        <v>359</v>
      </c>
      <c r="C19" s="222">
        <v>1.764351851851852E-2</v>
      </c>
      <c r="D19" s="6">
        <f>INDEX('Points Summary'!$H$4:$H$672,G19)</f>
        <v>0</v>
      </c>
      <c r="E19" s="67">
        <f t="shared" si="1"/>
        <v>0.63903305362542595</v>
      </c>
      <c r="F19" s="5"/>
      <c r="G19" s="4">
        <f>MATCH(B19,'Points Summary'!$B$4:$B$673,0)</f>
        <v>53</v>
      </c>
      <c r="I19" s="56"/>
    </row>
    <row r="20" spans="1:9" x14ac:dyDescent="0.2">
      <c r="A20" s="4">
        <v>8</v>
      </c>
      <c r="B20" s="5" t="s">
        <v>361</v>
      </c>
      <c r="C20" s="222">
        <v>1.6329861111111111E-2</v>
      </c>
      <c r="D20" s="6">
        <f>INDEX('Points Summary'!$H$4:$H$672,G20)</f>
        <v>0</v>
      </c>
      <c r="E20" s="67">
        <f t="shared" si="1"/>
        <v>0.69044013533673498</v>
      </c>
      <c r="F20" s="5"/>
      <c r="G20" s="4">
        <f>MATCH(B20,'Points Summary'!$B$4:$B$673,0)</f>
        <v>83</v>
      </c>
      <c r="I20" s="59"/>
    </row>
    <row r="21" spans="1:9" x14ac:dyDescent="0.2">
      <c r="A21" s="4">
        <v>4</v>
      </c>
      <c r="B21" s="5" t="s">
        <v>362</v>
      </c>
      <c r="C21" s="222">
        <v>1.5883101851851853E-2</v>
      </c>
      <c r="D21" s="6">
        <f>INDEX('Points Summary'!$H$4:$H$672,G21)</f>
        <v>0</v>
      </c>
      <c r="E21" s="67">
        <f t="shared" si="1"/>
        <v>0.70986080809341934</v>
      </c>
      <c r="F21" s="5"/>
      <c r="G21" s="4">
        <f>MATCH(B21,'Points Summary'!$B$4:$B$673,0)</f>
        <v>65</v>
      </c>
      <c r="I21" s="56"/>
    </row>
    <row r="22" spans="1:9" x14ac:dyDescent="0.2">
      <c r="A22" s="4">
        <v>9</v>
      </c>
      <c r="B22" s="5" t="s">
        <v>363</v>
      </c>
      <c r="C22" s="222">
        <v>1.6422453703703703E-2</v>
      </c>
      <c r="D22" s="6">
        <f>INDEX('Points Summary'!$H$4:$H$672,G22)</f>
        <v>0</v>
      </c>
      <c r="E22" s="67">
        <f t="shared" si="1"/>
        <v>0.68654731619324794</v>
      </c>
      <c r="F22" s="5"/>
      <c r="G22" s="4">
        <f>MATCH(B22,'Points Summary'!$B$4:$B$673,0)</f>
        <v>80</v>
      </c>
    </row>
    <row r="23" spans="1:9" x14ac:dyDescent="0.2">
      <c r="A23" s="4">
        <v>14</v>
      </c>
      <c r="B23" s="5" t="s">
        <v>365</v>
      </c>
      <c r="C23" s="222">
        <v>1.7443287037037038E-2</v>
      </c>
      <c r="D23" s="6" t="e">
        <f>INDEX('Points Summary'!$H$4:$H$672,G23)</f>
        <v>#N/A</v>
      </c>
      <c r="E23" s="67">
        <f t="shared" si="1"/>
        <v>0.64636851366637871</v>
      </c>
      <c r="F23" s="5"/>
      <c r="G23" s="4" t="e">
        <f>MATCH(B23,'Points Summary'!$B$4:$B$673,0)</f>
        <v>#N/A</v>
      </c>
    </row>
    <row r="24" spans="1:9" x14ac:dyDescent="0.2">
      <c r="A24" s="4">
        <v>15</v>
      </c>
      <c r="B24" s="5" t="s">
        <v>353</v>
      </c>
      <c r="C24" s="222">
        <v>1.7472222222222222E-2</v>
      </c>
      <c r="D24" s="6">
        <f>INDEX('Points Summary'!$H$4:$H$672,G24)</f>
        <v>0</v>
      </c>
      <c r="E24" s="67">
        <f t="shared" si="1"/>
        <v>0.64529808356293017</v>
      </c>
      <c r="F24" s="5"/>
      <c r="G24" s="4">
        <f>MATCH(B24,'Points Summary'!$B$4:$B$673,0)</f>
        <v>22</v>
      </c>
    </row>
    <row r="25" spans="1:9" x14ac:dyDescent="0.2">
      <c r="A25" s="4">
        <v>21</v>
      </c>
      <c r="B25" s="5" t="s">
        <v>355</v>
      </c>
      <c r="C25" s="222">
        <v>1.9217592592592592E-2</v>
      </c>
      <c r="D25" s="6">
        <f>INDEX('Points Summary'!$H$4:$H$672,G25)</f>
        <v>0</v>
      </c>
      <c r="E25" s="67">
        <f t="shared" si="1"/>
        <v>0.58669115089532609</v>
      </c>
      <c r="F25" s="5"/>
      <c r="G25" s="4">
        <f>MATCH(B25,'Points Summary'!$B$4:$B$673,0)</f>
        <v>23</v>
      </c>
    </row>
    <row r="26" spans="1:9" x14ac:dyDescent="0.2">
      <c r="A26" s="4">
        <v>20</v>
      </c>
      <c r="B26" s="5" t="s">
        <v>370</v>
      </c>
      <c r="C26" s="222">
        <v>1.8912037037037036E-2</v>
      </c>
      <c r="D26" s="6">
        <f>INDEX('Points Summary'!$H$4:$H$672,G26)</f>
        <v>0</v>
      </c>
      <c r="E26" s="67">
        <f t="shared" si="1"/>
        <v>0.59617012665030567</v>
      </c>
      <c r="F26" s="5"/>
      <c r="G26" s="4">
        <f>MATCH(B26,'Points Summary'!$B$4:$B$673,0)</f>
        <v>135</v>
      </c>
    </row>
    <row r="27" spans="1:9" x14ac:dyDescent="0.2">
      <c r="A27" s="4">
        <v>17</v>
      </c>
      <c r="B27" s="5" t="s">
        <v>366</v>
      </c>
      <c r="C27" s="222">
        <v>1.8106481481481484E-2</v>
      </c>
      <c r="D27" s="6">
        <f>INDEX('Points Summary'!$H$4:$H$672,G27)</f>
        <v>0</v>
      </c>
      <c r="E27" s="67">
        <f t="shared" si="1"/>
        <v>0.62269367613564264</v>
      </c>
      <c r="F27" s="5"/>
      <c r="G27" s="4">
        <f>MATCH(B27,'Points Summary'!$B$4:$B$673,0)</f>
        <v>45</v>
      </c>
    </row>
    <row r="28" spans="1:9" x14ac:dyDescent="0.2">
      <c r="A28" s="4">
        <v>22</v>
      </c>
      <c r="B28" s="5" t="s">
        <v>367</v>
      </c>
      <c r="C28" s="222">
        <v>1.9709490740740739E-2</v>
      </c>
      <c r="D28" s="6">
        <f>INDEX('Points Summary'!$H$4:$H$672,G28)</f>
        <v>0</v>
      </c>
      <c r="E28" s="67">
        <f t="shared" si="1"/>
        <v>0.57204885016536466</v>
      </c>
      <c r="F28" s="5"/>
      <c r="G28" s="4">
        <f>MATCH(B28,'Points Summary'!$B$4:$B$673,0)</f>
        <v>149</v>
      </c>
    </row>
    <row r="29" spans="1:9" x14ac:dyDescent="0.2">
      <c r="A29" s="4">
        <v>13</v>
      </c>
      <c r="B29" s="5" t="s">
        <v>352</v>
      </c>
      <c r="C29" s="222">
        <v>1.7121527777777781E-2</v>
      </c>
      <c r="D29" s="6">
        <f>INDEX('Points Summary'!$H$4:$H$672,G29)</f>
        <v>0</v>
      </c>
      <c r="E29" s="67">
        <f t="shared" si="1"/>
        <v>0.65851550527046521</v>
      </c>
      <c r="F29" s="5"/>
      <c r="G29" s="4">
        <f>MATCH(B29,'Points Summary'!$B$4:$B$673,0)</f>
        <v>134</v>
      </c>
    </row>
    <row r="30" spans="1:9" x14ac:dyDescent="0.2">
      <c r="A30" s="4">
        <v>18</v>
      </c>
      <c r="B30" s="5" t="s">
        <v>368</v>
      </c>
      <c r="C30" s="222">
        <v>1.8700231481481481E-2</v>
      </c>
      <c r="D30" s="6">
        <f>INDEX('Points Summary'!$H$4:$H$672,G30)</f>
        <v>0</v>
      </c>
      <c r="E30" s="67">
        <f t="shared" si="1"/>
        <v>0.60292256418060253</v>
      </c>
      <c r="F30" s="5"/>
      <c r="G30" s="4">
        <f>MATCH(B30,'Points Summary'!$B$4:$B$673,0)</f>
        <v>36</v>
      </c>
    </row>
    <row r="31" spans="1:9" x14ac:dyDescent="0.2">
      <c r="A31" s="4">
        <v>24</v>
      </c>
      <c r="B31" s="5" t="s">
        <v>369</v>
      </c>
      <c r="C31" s="222">
        <v>2.4336805555555559E-2</v>
      </c>
      <c r="D31" s="6">
        <f>INDEX('Points Summary'!$H$4:$H$672,G31)</f>
        <v>0</v>
      </c>
      <c r="E31" s="67">
        <f t="shared" si="1"/>
        <v>0.46328148901250737</v>
      </c>
      <c r="F31" s="5"/>
      <c r="G31" s="4">
        <f>MATCH(B31,'Points Summary'!$B$4:$B$673,0)</f>
        <v>56</v>
      </c>
    </row>
    <row r="32" spans="1:9" x14ac:dyDescent="0.2">
      <c r="D32" s="6"/>
      <c r="E32" s="67"/>
      <c r="F32" s="5"/>
      <c r="G32" s="4"/>
    </row>
  </sheetData>
  <sortState ref="A8:G15">
    <sortCondition descending="1" ref="D8:D15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0"/>
  <sheetViews>
    <sheetView workbookViewId="0">
      <selection activeCell="D8" sqref="D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372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43104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270</v>
      </c>
      <c r="C5" s="35"/>
      <c r="D5" s="35"/>
      <c r="E5" s="35" t="s">
        <v>28</v>
      </c>
      <c r="F5" s="52">
        <f>AVERAGE(C8:C9)*(AVERAGE(D8:D9)/100)</f>
        <v>1.7419858148495782E-2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62</v>
      </c>
      <c r="B8" s="5" t="s">
        <v>58</v>
      </c>
      <c r="C8" s="222">
        <v>1.7480324074074075E-2</v>
      </c>
      <c r="D8" s="6">
        <f>INDEX('Points Summary'!$E$4:$E$672,G8)</f>
        <v>96.883451688838534</v>
      </c>
      <c r="E8" s="41">
        <f>(AVERAGE($D$8:$D$9)/100*AVERAGE($C$8:$C$9))/C8</f>
        <v>0.99654091506987708</v>
      </c>
      <c r="F8" s="5"/>
      <c r="G8" s="4">
        <f>MATCH(B8,'Points Summary'!$B$4:$B$673,0)</f>
        <v>41</v>
      </c>
    </row>
    <row r="9" spans="1:7" x14ac:dyDescent="0.2">
      <c r="A9" s="4">
        <v>86</v>
      </c>
      <c r="B9" s="5" t="s">
        <v>221</v>
      </c>
      <c r="C9" s="222">
        <v>1.8596064814814815E-2</v>
      </c>
      <c r="D9" s="6">
        <f>INDEX('Points Summary'!$E$4:$E$672,G9)</f>
        <v>96.260692556273455</v>
      </c>
      <c r="E9" s="41">
        <f>(AVERAGE($D$8:$D$9)/100*AVERAGE($C$8:$C$9))/C9</f>
        <v>0.93674970064731156</v>
      </c>
      <c r="F9" s="5"/>
      <c r="G9" s="4">
        <f>MATCH(B9,'Points Summary'!$B$4:$B$673,0)</f>
        <v>42</v>
      </c>
    </row>
    <row r="10" spans="1:7" x14ac:dyDescent="0.2">
      <c r="A10" s="4"/>
      <c r="B10" s="5"/>
      <c r="C10" s="222"/>
      <c r="D10" s="6"/>
      <c r="E10" s="41"/>
      <c r="F10" s="5"/>
      <c r="G10" s="4"/>
    </row>
    <row r="11" spans="1:7" x14ac:dyDescent="0.2">
      <c r="A11" s="4"/>
      <c r="B11" s="5"/>
      <c r="C11" s="222"/>
      <c r="D11" s="6"/>
      <c r="E11" s="41"/>
      <c r="F11" s="5"/>
      <c r="G11" s="4"/>
    </row>
    <row r="12" spans="1:7" x14ac:dyDescent="0.2">
      <c r="A12" s="4"/>
      <c r="B12" s="5"/>
      <c r="C12" s="222"/>
      <c r="D12" s="6"/>
      <c r="E12" s="41"/>
      <c r="F12" s="5"/>
      <c r="G12" s="4"/>
    </row>
    <row r="13" spans="1:7" x14ac:dyDescent="0.2">
      <c r="A13" s="4"/>
      <c r="B13" s="5"/>
      <c r="C13" s="222"/>
      <c r="D13" s="6"/>
      <c r="E13" s="41"/>
      <c r="F13" s="5"/>
      <c r="G13" s="4"/>
    </row>
    <row r="14" spans="1:7" x14ac:dyDescent="0.2">
      <c r="A14" s="4"/>
      <c r="B14" s="5"/>
      <c r="C14" s="222"/>
      <c r="D14" s="6"/>
      <c r="E14" s="41"/>
      <c r="F14" s="5"/>
      <c r="G14" s="4"/>
    </row>
    <row r="15" spans="1:7" x14ac:dyDescent="0.2">
      <c r="A15" s="4"/>
      <c r="B15" s="5"/>
      <c r="C15" s="222"/>
      <c r="D15" s="6"/>
      <c r="E15" s="41"/>
      <c r="F15" s="5"/>
      <c r="G15" s="4"/>
    </row>
    <row r="16" spans="1:7" x14ac:dyDescent="0.2">
      <c r="A16" s="4"/>
      <c r="B16" s="86"/>
      <c r="C16" s="222"/>
      <c r="D16" s="6"/>
      <c r="E16" s="41"/>
      <c r="F16" s="5"/>
      <c r="G16" s="4"/>
    </row>
    <row r="17" spans="1:7" x14ac:dyDescent="0.2">
      <c r="A17" s="4"/>
      <c r="B17" s="86"/>
      <c r="C17" s="222"/>
      <c r="D17" s="6"/>
      <c r="E17" s="41"/>
      <c r="F17" s="5"/>
      <c r="G17" s="4"/>
    </row>
    <row r="18" spans="1:7" x14ac:dyDescent="0.2">
      <c r="A18" s="4"/>
      <c r="B18" s="86"/>
      <c r="C18" s="222"/>
      <c r="D18" s="6"/>
      <c r="E18" s="41"/>
      <c r="F18" s="5"/>
      <c r="G18" s="4"/>
    </row>
    <row r="19" spans="1:7" x14ac:dyDescent="0.2">
      <c r="A19" s="4"/>
      <c r="B19" s="86"/>
      <c r="C19" s="222"/>
      <c r="D19" s="6"/>
      <c r="E19" s="41"/>
      <c r="F19" s="5"/>
      <c r="G19" s="4"/>
    </row>
    <row r="20" spans="1:7" x14ac:dyDescent="0.2">
      <c r="A20" s="4"/>
      <c r="B20" s="86"/>
      <c r="C20" s="222"/>
      <c r="D20" s="6"/>
      <c r="E20" s="41"/>
      <c r="F20" s="5"/>
      <c r="G20" s="4"/>
    </row>
    <row r="21" spans="1:7" x14ac:dyDescent="0.2">
      <c r="A21" s="4"/>
      <c r="B21" s="5"/>
      <c r="C21" s="222"/>
      <c r="D21" s="6"/>
      <c r="E21" s="41"/>
      <c r="F21" s="5"/>
      <c r="G21" s="4"/>
    </row>
    <row r="22" spans="1:7" x14ac:dyDescent="0.2">
      <c r="A22" s="4"/>
      <c r="C22" s="222"/>
      <c r="D22" s="6"/>
      <c r="E22" s="41"/>
      <c r="F22" s="5"/>
      <c r="G22" s="4"/>
    </row>
    <row r="23" spans="1:7" x14ac:dyDescent="0.2">
      <c r="A23" s="4"/>
      <c r="C23" s="222"/>
      <c r="D23" s="6"/>
      <c r="E23" s="41"/>
      <c r="F23" s="5"/>
      <c r="G23" s="4"/>
    </row>
    <row r="24" spans="1:7" x14ac:dyDescent="0.2">
      <c r="A24" s="4"/>
      <c r="C24" s="222"/>
      <c r="D24" s="6"/>
      <c r="E24" s="41"/>
      <c r="F24" s="5"/>
      <c r="G24" s="4"/>
    </row>
    <row r="25" spans="1:7" x14ac:dyDescent="0.2">
      <c r="A25" s="4"/>
      <c r="C25" s="222"/>
      <c r="D25" s="6"/>
      <c r="E25" s="41"/>
      <c r="F25" s="5"/>
      <c r="G25" s="4"/>
    </row>
    <row r="26" spans="1:7" x14ac:dyDescent="0.2">
      <c r="A26" s="4"/>
      <c r="C26" s="222"/>
      <c r="D26" s="6"/>
      <c r="E26" s="41"/>
      <c r="F26" s="5"/>
      <c r="G26" s="4"/>
    </row>
    <row r="27" spans="1:7" x14ac:dyDescent="0.2">
      <c r="A27" s="4"/>
      <c r="B27" s="5"/>
      <c r="C27" s="222"/>
      <c r="D27" s="6"/>
      <c r="E27" s="41"/>
      <c r="F27" s="5"/>
      <c r="G27" s="4"/>
    </row>
    <row r="28" spans="1:7" x14ac:dyDescent="0.2">
      <c r="A28" s="4"/>
      <c r="B28" s="5"/>
      <c r="C28" s="222"/>
      <c r="D28" s="6"/>
      <c r="E28" s="41"/>
      <c r="F28" s="5"/>
      <c r="G28" s="4"/>
    </row>
    <row r="29" spans="1:7" x14ac:dyDescent="0.2">
      <c r="A29" s="4"/>
      <c r="B29" s="5"/>
      <c r="C29" s="222"/>
      <c r="D29" s="6"/>
      <c r="E29" s="41"/>
      <c r="F29" s="5"/>
      <c r="G29" s="4"/>
    </row>
    <row r="30" spans="1:7" x14ac:dyDescent="0.2">
      <c r="A30" s="4"/>
      <c r="B30" s="5"/>
      <c r="C30" s="222"/>
      <c r="D30" s="6"/>
      <c r="E30" s="41"/>
      <c r="F30" s="5"/>
      <c r="G30" s="4"/>
    </row>
  </sheetData>
  <sortState ref="A8:E15">
    <sortCondition descending="1" ref="D8:D15"/>
  </sortState>
  <phoneticPr fontId="9" type="noConversion"/>
  <printOptions horizontalCentered="1"/>
  <pageMargins left="0.75" right="0.75" top="1" bottom="1" header="0.5" footer="0.5"/>
  <pageSetup orientation="portrait" horizontalDpi="1200" verticalDpi="1200" r:id="rId1"/>
  <headerFooter alignWithMargins="0">
    <oddHeader>&amp;L&amp;"Tahoma,Bold"&amp;11U.S. Biathlon Association&amp;R&amp;"Tahoma,Bold"&amp;11 2018 Race Points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9"/>
  <sheetViews>
    <sheetView workbookViewId="0">
      <selection activeCell="B1" sqref="B1:B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373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43105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284</v>
      </c>
      <c r="C5" s="35"/>
      <c r="D5" s="35"/>
      <c r="E5" s="35" t="s">
        <v>28</v>
      </c>
      <c r="F5" s="52">
        <f>AVERAGE(C8:C10)*(AVERAGE(D8:D10)/100)</f>
        <v>1.4534619452104153E-2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32</v>
      </c>
      <c r="B8" s="5" t="s">
        <v>247</v>
      </c>
      <c r="C8" s="60">
        <v>1.5528935185185187E-2</v>
      </c>
      <c r="D8" s="6">
        <f>INDEX('Points Summary'!$E$4:$E$672,G8)</f>
        <v>93.079404072677221</v>
      </c>
      <c r="E8" s="67">
        <f>(AVERAGE($D$8:$D$10)/100*AVERAGE($C$8:$C$10))/C8</f>
        <v>0.93597012794350354</v>
      </c>
      <c r="F8" s="5"/>
      <c r="G8" s="4">
        <f>MATCH(B8,'Points Summary'!$B$4:$B$673,0)</f>
        <v>40</v>
      </c>
    </row>
    <row r="9" spans="1:7" x14ac:dyDescent="0.2">
      <c r="A9" s="4">
        <v>38</v>
      </c>
      <c r="B9" s="5" t="s">
        <v>249</v>
      </c>
      <c r="C9" s="60">
        <v>1.5719907407407408E-2</v>
      </c>
      <c r="D9" s="6">
        <f>INDEX('Points Summary'!$E$4:$E$672,G9)</f>
        <v>92.732138127112805</v>
      </c>
      <c r="E9" s="67">
        <f>(AVERAGE($D$8:$D$10)/100*AVERAGE($C$8:$C$10))/C9</f>
        <v>0.92459955872610722</v>
      </c>
      <c r="F9" s="5"/>
      <c r="G9" s="4">
        <f>MATCH(B9,'Points Summary'!$B$4:$B$673,0)</f>
        <v>106</v>
      </c>
    </row>
    <row r="10" spans="1:7" x14ac:dyDescent="0.2">
      <c r="A10" s="4">
        <v>42</v>
      </c>
      <c r="B10" s="5" t="s">
        <v>216</v>
      </c>
      <c r="C10" s="60">
        <v>1.5859953703703706E-2</v>
      </c>
      <c r="D10" s="6">
        <f>INDEX('Points Summary'!$E$4:$E$672,G10)</f>
        <v>91.868180810287825</v>
      </c>
      <c r="E10" s="67">
        <f>(AVERAGE($D$8:$D$10)/100*AVERAGE($C$8:$C$10))/C10</f>
        <v>0.91643517526220442</v>
      </c>
      <c r="F10" s="5"/>
      <c r="G10" s="4">
        <f>MATCH(B10,'Points Summary'!$B$4:$B$673,0)</f>
        <v>101</v>
      </c>
    </row>
    <row r="11" spans="1:7" x14ac:dyDescent="0.2">
      <c r="A11" s="4">
        <v>78</v>
      </c>
      <c r="B11" s="5" t="s">
        <v>228</v>
      </c>
      <c r="C11" s="60">
        <v>1.6784722222222225E-2</v>
      </c>
      <c r="D11" s="6">
        <f>INDEX('Points Summary'!$E$4:$E$672,G11)</f>
        <v>88.502368288866123</v>
      </c>
      <c r="E11" s="67">
        <f>(AVERAGE($D$8:$D$10)/100*AVERAGE($C$8:$C$10))/C11</f>
        <v>0.86594340136656922</v>
      </c>
      <c r="F11" s="5"/>
      <c r="G11" s="4">
        <f>MATCH(B11,'Points Summary'!$B$4:$B$673,0)</f>
        <v>81</v>
      </c>
    </row>
    <row r="12" spans="1:7" x14ac:dyDescent="0.2">
      <c r="A12" s="4"/>
      <c r="B12" s="5"/>
      <c r="C12" s="60"/>
      <c r="D12" s="6"/>
      <c r="E12" s="67"/>
      <c r="F12" s="5"/>
      <c r="G12" s="4"/>
    </row>
    <row r="13" spans="1:7" x14ac:dyDescent="0.2">
      <c r="A13" s="4"/>
      <c r="B13" s="5"/>
      <c r="C13" s="60"/>
      <c r="D13" s="6"/>
      <c r="E13" s="67"/>
      <c r="F13" s="5"/>
      <c r="G13" s="4"/>
    </row>
    <row r="14" spans="1:7" x14ac:dyDescent="0.2">
      <c r="A14" s="4"/>
      <c r="B14" s="5"/>
      <c r="C14" s="60"/>
      <c r="D14" s="6"/>
      <c r="E14" s="67"/>
      <c r="F14" s="5"/>
      <c r="G14" s="4"/>
    </row>
    <row r="15" spans="1:7" x14ac:dyDescent="0.2">
      <c r="A15" s="4"/>
      <c r="B15" s="86"/>
      <c r="C15" s="60"/>
      <c r="D15" s="6"/>
      <c r="E15" s="67"/>
      <c r="F15" s="5"/>
      <c r="G15" s="4"/>
    </row>
    <row r="16" spans="1:7" x14ac:dyDescent="0.2">
      <c r="A16" s="4"/>
      <c r="B16" s="86"/>
      <c r="C16" s="60"/>
      <c r="D16" s="6"/>
      <c r="E16" s="67"/>
      <c r="F16" s="5"/>
      <c r="G16" s="4"/>
    </row>
    <row r="17" spans="1:7" x14ac:dyDescent="0.2">
      <c r="A17" s="4"/>
      <c r="B17" s="86"/>
      <c r="C17" s="60"/>
      <c r="D17" s="6"/>
      <c r="E17" s="67"/>
      <c r="F17" s="5"/>
      <c r="G17" s="4"/>
    </row>
    <row r="18" spans="1:7" x14ac:dyDescent="0.2">
      <c r="A18" s="4"/>
      <c r="B18" s="86"/>
      <c r="C18" s="60"/>
      <c r="D18" s="6"/>
      <c r="E18" s="67"/>
      <c r="F18" s="5"/>
      <c r="G18" s="4"/>
    </row>
    <row r="19" spans="1:7" x14ac:dyDescent="0.2">
      <c r="A19" s="4"/>
      <c r="B19" s="86"/>
      <c r="C19" s="60"/>
      <c r="D19" s="6"/>
      <c r="E19" s="67"/>
      <c r="F19" s="5"/>
      <c r="G19" s="4"/>
    </row>
    <row r="20" spans="1:7" x14ac:dyDescent="0.2">
      <c r="A20" s="4"/>
      <c r="B20" s="86"/>
      <c r="C20" s="60"/>
      <c r="D20" s="6"/>
      <c r="E20" s="67"/>
      <c r="F20" s="5"/>
      <c r="G20" s="4"/>
    </row>
    <row r="21" spans="1:7" x14ac:dyDescent="0.2">
      <c r="A21" s="4"/>
      <c r="B21" s="5"/>
      <c r="C21" s="60"/>
      <c r="D21" s="6"/>
      <c r="E21" s="67"/>
      <c r="F21" s="5"/>
      <c r="G21" s="4"/>
    </row>
    <row r="22" spans="1:7" x14ac:dyDescent="0.2">
      <c r="A22" s="4"/>
      <c r="B22" s="5"/>
      <c r="C22" s="60"/>
      <c r="D22" s="6"/>
      <c r="E22" s="67"/>
      <c r="F22" s="5"/>
      <c r="G22" s="4"/>
    </row>
    <row r="23" spans="1:7" x14ac:dyDescent="0.2">
      <c r="A23" s="4"/>
      <c r="B23" s="5"/>
      <c r="C23" s="60"/>
      <c r="D23" s="6"/>
      <c r="E23" s="67"/>
      <c r="F23" s="5"/>
      <c r="G23" s="4"/>
    </row>
    <row r="24" spans="1:7" x14ac:dyDescent="0.2">
      <c r="A24" s="4"/>
      <c r="B24" s="5"/>
      <c r="C24" s="60"/>
      <c r="D24" s="6"/>
      <c r="E24" s="67"/>
      <c r="F24" s="5"/>
      <c r="G24" s="4"/>
    </row>
    <row r="25" spans="1:7" x14ac:dyDescent="0.2">
      <c r="A25" s="4"/>
      <c r="B25" s="5"/>
      <c r="C25" s="60"/>
      <c r="D25" s="6"/>
      <c r="E25" s="67"/>
      <c r="F25" s="5"/>
      <c r="G25" s="4"/>
    </row>
    <row r="26" spans="1:7" x14ac:dyDescent="0.2">
      <c r="A26" s="4"/>
      <c r="B26" s="5"/>
      <c r="C26" s="60"/>
      <c r="D26" s="6"/>
      <c r="E26" s="67"/>
      <c r="F26" s="5"/>
      <c r="G26" s="4"/>
    </row>
    <row r="27" spans="1:7" x14ac:dyDescent="0.2">
      <c r="A27" s="4"/>
      <c r="B27" s="5"/>
      <c r="C27" s="60"/>
      <c r="D27" s="6"/>
      <c r="E27" s="67"/>
      <c r="F27" s="5"/>
      <c r="G27" s="4"/>
    </row>
    <row r="28" spans="1:7" x14ac:dyDescent="0.2">
      <c r="A28" s="4"/>
      <c r="B28" s="5"/>
      <c r="C28" s="60"/>
      <c r="D28" s="6"/>
      <c r="E28" s="67"/>
      <c r="F28" s="5"/>
      <c r="G28" s="4"/>
    </row>
    <row r="29" spans="1:7" x14ac:dyDescent="0.2">
      <c r="A29" s="4"/>
      <c r="B29" s="5"/>
      <c r="C29" s="60"/>
      <c r="D29" s="6"/>
      <c r="E29" s="67"/>
      <c r="F29" s="5"/>
      <c r="G29" s="4"/>
    </row>
  </sheetData>
  <sortState ref="A8:E10">
    <sortCondition descending="1" ref="D8:D1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 xml:space="preserve">&amp;L&amp;"Tahoma,Bold"&amp;11U.S. Biathlon Association&amp;R&amp;"Tahoma,Bold"&amp;11 2018 Race Points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workbookViewId="0">
      <selection activeCell="F14" sqref="F14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373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43106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284</v>
      </c>
      <c r="C5" s="35"/>
      <c r="D5" s="35"/>
      <c r="E5" s="35" t="s">
        <v>28</v>
      </c>
      <c r="F5" s="52">
        <f>AVERAGE(C8:C10)*(AVERAGE(D8:D10)/100)</f>
        <v>1.4521406810962985E-2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45</v>
      </c>
      <c r="B8" s="5" t="s">
        <v>247</v>
      </c>
      <c r="C8" s="40">
        <v>1.5724537037037037E-2</v>
      </c>
      <c r="D8" s="6">
        <f>INDEX('Points Summary'!$E$4:$E$672,G8)</f>
        <v>93.079404072677221</v>
      </c>
      <c r="E8" s="41">
        <f t="shared" ref="E8:E11" si="0">(AVERAGE($D$8:$D$10)/100*AVERAGE($C$8:$C$10))/C8</f>
        <v>0.92348708116237443</v>
      </c>
      <c r="F8" s="5"/>
      <c r="G8" s="4">
        <f>MATCH(B8,'Points Summary'!$B$4:$B$673,0)</f>
        <v>40</v>
      </c>
    </row>
    <row r="9" spans="1:7" x14ac:dyDescent="0.2">
      <c r="A9" s="4">
        <v>20</v>
      </c>
      <c r="B9" s="5" t="s">
        <v>249</v>
      </c>
      <c r="C9" s="40">
        <v>1.4858796296296299E-2</v>
      </c>
      <c r="D9" s="6">
        <f>INDEX('Points Summary'!$E$4:$E$672,G9)</f>
        <v>92.732138127112805</v>
      </c>
      <c r="E9" s="41">
        <f t="shared" si="0"/>
        <v>0.97729361930768166</v>
      </c>
      <c r="F9" s="5"/>
      <c r="G9" s="4">
        <f>MATCH(B9,'Points Summary'!$B$4:$B$673,0)</f>
        <v>106</v>
      </c>
    </row>
    <row r="10" spans="1:7" x14ac:dyDescent="0.2">
      <c r="A10" s="4">
        <v>69</v>
      </c>
      <c r="B10" s="5" t="s">
        <v>216</v>
      </c>
      <c r="C10" s="40">
        <v>1.648263888888889E-2</v>
      </c>
      <c r="D10" s="6">
        <f>INDEX('Points Summary'!$E$4:$E$672,G10)</f>
        <v>91.868180810287825</v>
      </c>
      <c r="E10" s="41">
        <f t="shared" si="0"/>
        <v>0.88101225227666724</v>
      </c>
      <c r="F10" s="5"/>
      <c r="G10" s="4">
        <f>MATCH(B10,'Points Summary'!$B$4:$B$673,0)</f>
        <v>101</v>
      </c>
    </row>
    <row r="11" spans="1:7" x14ac:dyDescent="0.2">
      <c r="A11" s="4">
        <v>59</v>
      </c>
      <c r="B11" s="5" t="s">
        <v>228</v>
      </c>
      <c r="C11" s="40">
        <v>1.6180555555555556E-2</v>
      </c>
      <c r="D11" s="6">
        <f>INDEX('Points Summary'!$E$4:$E$672,G11)</f>
        <v>88.502368288866123</v>
      </c>
      <c r="E11" s="41">
        <f t="shared" si="0"/>
        <v>0.89746033509814149</v>
      </c>
      <c r="F11" s="5"/>
      <c r="G11" s="4">
        <f>MATCH(B11,'Points Summary'!$B$4:$B$673,0)</f>
        <v>81</v>
      </c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B13" s="5"/>
      <c r="C13" s="40"/>
      <c r="D13" s="6"/>
      <c r="E13" s="41"/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  <row r="22" spans="1:7" x14ac:dyDescent="0.2">
      <c r="A22" s="4"/>
      <c r="B22" s="5"/>
      <c r="C22" s="40"/>
      <c r="D22" s="6"/>
      <c r="E22" s="41"/>
      <c r="F22" s="5"/>
      <c r="G22" s="4"/>
    </row>
    <row r="23" spans="1:7" x14ac:dyDescent="0.2">
      <c r="A23" s="4"/>
      <c r="B23" s="5"/>
      <c r="C23" s="40"/>
      <c r="D23" s="6"/>
      <c r="E23" s="41"/>
      <c r="F23" s="5"/>
      <c r="G23" s="4"/>
    </row>
    <row r="24" spans="1:7" x14ac:dyDescent="0.2">
      <c r="A24" s="4"/>
      <c r="B24" s="5"/>
      <c r="C24" s="40"/>
      <c r="D24" s="6"/>
      <c r="E24" s="41"/>
      <c r="F24" s="5"/>
      <c r="G24" s="4"/>
    </row>
    <row r="25" spans="1:7" x14ac:dyDescent="0.2">
      <c r="A25" s="4"/>
      <c r="B25" s="5"/>
      <c r="C25" s="40"/>
      <c r="D25" s="6"/>
      <c r="E25" s="41"/>
      <c r="F25" s="5"/>
      <c r="G25" s="4"/>
    </row>
    <row r="26" spans="1:7" x14ac:dyDescent="0.2">
      <c r="A26" s="4"/>
      <c r="B26" s="5"/>
      <c r="C26" s="40"/>
      <c r="D26" s="6"/>
      <c r="E26" s="41"/>
      <c r="F26" s="5"/>
      <c r="G26" s="4"/>
    </row>
    <row r="27" spans="1:7" x14ac:dyDescent="0.2">
      <c r="A27" s="4"/>
      <c r="B27" s="5"/>
      <c r="C27" s="40"/>
      <c r="D27" s="6"/>
      <c r="E27" s="41"/>
      <c r="F27" s="5"/>
      <c r="G27" s="4"/>
    </row>
    <row r="28" spans="1:7" x14ac:dyDescent="0.2">
      <c r="B28" s="5"/>
    </row>
    <row r="29" spans="1:7" x14ac:dyDescent="0.2">
      <c r="B29" s="5"/>
      <c r="C29" s="40"/>
    </row>
  </sheetData>
  <sortState ref="A8:D27">
    <sortCondition descending="1" ref="D8:D27"/>
  </sortState>
  <phoneticPr fontId="9" type="noConversion"/>
  <printOptions horizontalCentered="1"/>
  <pageMargins left="0.75" right="0.75" top="1" bottom="1" header="0.5" footer="0.5"/>
  <pageSetup orientation="portrait" horizontalDpi="1200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11" sqref="B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374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43107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375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223</v>
      </c>
      <c r="C8" s="222">
        <v>3.0186342592592591E-2</v>
      </c>
      <c r="D8" s="6">
        <f>INDEX('Points Summary'!$H$4:$H$672,G8)</f>
        <v>72.034864861933698</v>
      </c>
      <c r="E8" s="41" t="e">
        <f>(AVERAGE($D$8:$D$10)/100*AVERAGE($C$8:$C$10))/C8</f>
        <v>#N/A</v>
      </c>
      <c r="F8" s="5"/>
      <c r="G8" s="4">
        <f>MATCH(B8,'Points Summary'!$B$4:$B$673,0)</f>
        <v>59</v>
      </c>
    </row>
    <row r="9" spans="1:7" x14ac:dyDescent="0.2">
      <c r="A9" s="4">
        <v>2</v>
      </c>
      <c r="B9" s="5" t="s">
        <v>376</v>
      </c>
      <c r="C9" s="222">
        <v>2.624189814814815E-2</v>
      </c>
      <c r="D9" s="6" t="e">
        <f>INDEX('Points Summary'!$H$4:$H$672,G9)</f>
        <v>#N/A</v>
      </c>
      <c r="E9" s="41" t="e">
        <f t="shared" ref="E9:E10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3</v>
      </c>
      <c r="B10" s="5" t="s">
        <v>377</v>
      </c>
      <c r="C10" s="222">
        <v>2.7479166666666666E-2</v>
      </c>
      <c r="D10" s="6">
        <f>INDEX('Points Summary'!$H$4:$H$672,G10)</f>
        <v>0</v>
      </c>
      <c r="E10" s="41" t="e">
        <f t="shared" si="0"/>
        <v>#N/A</v>
      </c>
      <c r="F10" s="5"/>
      <c r="G10" s="4">
        <f>MATCH(B10,'Points Summary'!$B$4:$B$673,0)</f>
        <v>94</v>
      </c>
    </row>
    <row r="11" spans="1:7" x14ac:dyDescent="0.2">
      <c r="A11" s="4"/>
      <c r="B11" s="5"/>
      <c r="C11" s="222"/>
      <c r="D11" s="6"/>
      <c r="E11" s="41"/>
      <c r="F11" s="5"/>
      <c r="G11" s="4"/>
    </row>
    <row r="12" spans="1:7" x14ac:dyDescent="0.2">
      <c r="A12" s="4"/>
      <c r="B12" s="5"/>
      <c r="C12" s="222"/>
      <c r="D12" s="6"/>
      <c r="E12" s="41"/>
      <c r="F12" s="5"/>
      <c r="G12" s="4"/>
    </row>
    <row r="13" spans="1:7" x14ac:dyDescent="0.2">
      <c r="A13" s="4"/>
      <c r="B13" s="5"/>
      <c r="C13" s="222"/>
      <c r="D13" s="6"/>
      <c r="E13" s="41"/>
      <c r="F13" s="5"/>
      <c r="G13" s="4"/>
    </row>
    <row r="14" spans="1:7" x14ac:dyDescent="0.2">
      <c r="A14" s="4"/>
      <c r="B14" s="5"/>
      <c r="C14" s="222"/>
      <c r="D14" s="6"/>
      <c r="E14" s="41"/>
      <c r="F14" s="5"/>
      <c r="G14" s="4"/>
    </row>
    <row r="15" spans="1:7" x14ac:dyDescent="0.2">
      <c r="A15" s="4"/>
      <c r="B15" s="5"/>
      <c r="C15" s="222"/>
      <c r="D15" s="6"/>
      <c r="E15" s="41"/>
      <c r="F15" s="5"/>
      <c r="G15" s="4"/>
    </row>
    <row r="16" spans="1:7" x14ac:dyDescent="0.2">
      <c r="A16" s="4"/>
      <c r="B16" s="5"/>
      <c r="C16" s="222"/>
      <c r="D16" s="6"/>
      <c r="E16" s="41"/>
      <c r="F16" s="5"/>
      <c r="G16" s="4"/>
    </row>
    <row r="17" spans="1:7" x14ac:dyDescent="0.2">
      <c r="A17" s="4"/>
      <c r="B17" s="5"/>
      <c r="C17" s="222"/>
      <c r="D17" s="6"/>
      <c r="E17" s="41"/>
      <c r="F17" s="5"/>
      <c r="G17" s="4"/>
    </row>
    <row r="18" spans="1:7" x14ac:dyDescent="0.2">
      <c r="A18" s="4"/>
      <c r="B18" s="5"/>
      <c r="C18" s="222"/>
      <c r="D18" s="6"/>
      <c r="E18" s="41"/>
      <c r="F18" s="5"/>
      <c r="G18" s="4"/>
    </row>
    <row r="19" spans="1:7" x14ac:dyDescent="0.2">
      <c r="A19" s="4"/>
      <c r="B19" s="5"/>
      <c r="C19" s="222"/>
      <c r="D19" s="6"/>
      <c r="E19" s="41"/>
      <c r="F19" s="5"/>
      <c r="G19" s="4"/>
    </row>
    <row r="20" spans="1:7" x14ac:dyDescent="0.2">
      <c r="A20" s="4"/>
      <c r="B20" s="5"/>
      <c r="C20" s="222"/>
      <c r="D20" s="6"/>
      <c r="E20" s="41"/>
      <c r="F20" s="5"/>
      <c r="G20" s="4"/>
    </row>
    <row r="21" spans="1:7" x14ac:dyDescent="0.2">
      <c r="A21" s="4"/>
      <c r="B21" s="5"/>
      <c r="C21" s="222"/>
      <c r="D21" s="6"/>
      <c r="E21" s="41"/>
      <c r="F21" s="5"/>
      <c r="G21" s="4"/>
    </row>
    <row r="22" spans="1:7" x14ac:dyDescent="0.2">
      <c r="A22" s="4"/>
      <c r="B22" s="5"/>
      <c r="C22" s="222"/>
      <c r="D22" s="6"/>
      <c r="E22" s="41"/>
      <c r="F22" s="5"/>
      <c r="G22" s="4"/>
    </row>
    <row r="23" spans="1:7" x14ac:dyDescent="0.2">
      <c r="A23" s="4"/>
      <c r="B23" s="5"/>
      <c r="C23" s="222"/>
      <c r="D23" s="6"/>
      <c r="E23" s="41"/>
      <c r="F23" s="5"/>
      <c r="G23" s="4"/>
    </row>
    <row r="24" spans="1:7" x14ac:dyDescent="0.2">
      <c r="A24" s="4"/>
      <c r="B24" s="5"/>
      <c r="C24" s="60"/>
      <c r="D24" s="6"/>
      <c r="E24" s="41"/>
      <c r="F24" s="5"/>
      <c r="G24" s="4"/>
    </row>
    <row r="25" spans="1:7" x14ac:dyDescent="0.2">
      <c r="A25" s="4"/>
      <c r="B25" s="5"/>
      <c r="C25" s="222"/>
      <c r="D25" s="6"/>
      <c r="E25" s="41"/>
      <c r="F25" s="5"/>
      <c r="G25" s="4"/>
    </row>
    <row r="26" spans="1:7" x14ac:dyDescent="0.2">
      <c r="A26" s="4"/>
      <c r="B26" s="5"/>
      <c r="C26" s="222"/>
      <c r="D26" s="6"/>
      <c r="E26" s="41"/>
      <c r="F26" s="5"/>
      <c r="G26" s="4"/>
    </row>
    <row r="27" spans="1:7" x14ac:dyDescent="0.2">
      <c r="A27" s="4"/>
      <c r="B27" s="5"/>
      <c r="C27" s="222"/>
      <c r="D27" s="6"/>
      <c r="E27" s="41"/>
      <c r="F27" s="5"/>
      <c r="G27" s="4"/>
    </row>
    <row r="28" spans="1:7" x14ac:dyDescent="0.2">
      <c r="B28" s="5"/>
    </row>
    <row r="29" spans="1:7" x14ac:dyDescent="0.2">
      <c r="B29" s="5"/>
    </row>
  </sheetData>
  <sortState ref="A8:D23">
    <sortCondition descending="1" ref="D8:D23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2017 Race Points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379"/>
  <sheetViews>
    <sheetView topLeftCell="A34" zoomScaleNormal="100" workbookViewId="0">
      <selection activeCell="C46" sqref="C46"/>
    </sheetView>
  </sheetViews>
  <sheetFormatPr defaultRowHeight="12.75" x14ac:dyDescent="0.2"/>
  <cols>
    <col min="2" max="2" width="22.7109375" customWidth="1"/>
    <col min="3" max="4" width="6.7109375" customWidth="1"/>
    <col min="5" max="8" width="9.7109375" customWidth="1"/>
    <col min="9" max="23" width="10.7109375" customWidth="1"/>
    <col min="24" max="24" width="10.7109375" style="87" customWidth="1"/>
    <col min="25" max="104" width="10.7109375" customWidth="1"/>
    <col min="105" max="105" width="9.7109375" customWidth="1"/>
    <col min="106" max="106" width="20.7109375" customWidth="1"/>
    <col min="108" max="108" width="8.85546875" style="63"/>
    <col min="110" max="112" width="6.7109375" customWidth="1"/>
    <col min="118" max="118" width="27" customWidth="1"/>
    <col min="120" max="120" width="22.7109375" customWidth="1"/>
    <col min="121" max="122" width="6.7109375" customWidth="1"/>
    <col min="129" max="129" width="22.7109375" customWidth="1"/>
    <col min="130" max="131" width="6.7109375" customWidth="1"/>
  </cols>
  <sheetData>
    <row r="1" spans="1:139" x14ac:dyDescent="0.2">
      <c r="A1" s="1">
        <v>2018</v>
      </c>
      <c r="B1" s="2" t="s">
        <v>0</v>
      </c>
      <c r="C1" s="1" t="s">
        <v>1</v>
      </c>
      <c r="D1" s="1" t="s">
        <v>29</v>
      </c>
      <c r="E1" s="194" t="s">
        <v>4</v>
      </c>
      <c r="F1" s="194" t="s">
        <v>4</v>
      </c>
      <c r="G1" s="195" t="s">
        <v>7</v>
      </c>
      <c r="H1" s="196">
        <v>2017</v>
      </c>
      <c r="I1" s="3" t="s">
        <v>110</v>
      </c>
      <c r="J1" s="3" t="s">
        <v>111</v>
      </c>
      <c r="K1" s="3" t="s">
        <v>112</v>
      </c>
      <c r="L1" s="3" t="s">
        <v>113</v>
      </c>
      <c r="M1" s="3" t="s">
        <v>114</v>
      </c>
      <c r="N1" s="3" t="s">
        <v>115</v>
      </c>
      <c r="O1" s="3" t="s">
        <v>116</v>
      </c>
      <c r="P1" s="3" t="s">
        <v>117</v>
      </c>
      <c r="Q1" s="3" t="s">
        <v>118</v>
      </c>
      <c r="R1" s="3" t="s">
        <v>119</v>
      </c>
      <c r="S1" s="3" t="s">
        <v>120</v>
      </c>
      <c r="T1" s="3" t="s">
        <v>121</v>
      </c>
      <c r="U1" s="3" t="s">
        <v>122</v>
      </c>
      <c r="V1" s="3" t="s">
        <v>123</v>
      </c>
      <c r="W1" s="3" t="s">
        <v>124</v>
      </c>
      <c r="X1" s="3" t="s">
        <v>125</v>
      </c>
      <c r="Y1" s="3" t="s">
        <v>126</v>
      </c>
      <c r="Z1" s="3" t="s">
        <v>127</v>
      </c>
      <c r="AA1" s="3" t="s">
        <v>128</v>
      </c>
      <c r="AB1" s="3" t="s">
        <v>129</v>
      </c>
      <c r="AC1" s="3" t="s">
        <v>130</v>
      </c>
      <c r="AD1" s="3" t="s">
        <v>131</v>
      </c>
      <c r="AE1" s="3" t="s">
        <v>132</v>
      </c>
      <c r="AF1" s="3" t="s">
        <v>133</v>
      </c>
      <c r="AG1" s="3" t="s">
        <v>134</v>
      </c>
      <c r="AH1" s="3" t="s">
        <v>135</v>
      </c>
      <c r="AI1" s="3" t="s">
        <v>136</v>
      </c>
      <c r="AJ1" s="3" t="s">
        <v>137</v>
      </c>
      <c r="AK1" s="3" t="s">
        <v>138</v>
      </c>
      <c r="AL1" s="3" t="s">
        <v>139</v>
      </c>
      <c r="AM1" s="3" t="s">
        <v>140</v>
      </c>
      <c r="AN1" s="3" t="s">
        <v>141</v>
      </c>
      <c r="AO1" s="3" t="s">
        <v>142</v>
      </c>
      <c r="AP1" s="3" t="s">
        <v>143</v>
      </c>
      <c r="AQ1" s="3" t="s">
        <v>144</v>
      </c>
      <c r="AR1" s="3" t="s">
        <v>145</v>
      </c>
      <c r="AS1" s="3" t="s">
        <v>146</v>
      </c>
      <c r="AT1" s="3" t="s">
        <v>147</v>
      </c>
      <c r="AU1" s="3" t="s">
        <v>148</v>
      </c>
      <c r="AV1" s="3" t="s">
        <v>149</v>
      </c>
      <c r="AW1" s="3" t="s">
        <v>150</v>
      </c>
      <c r="AX1" s="3" t="s">
        <v>151</v>
      </c>
      <c r="AY1" s="3" t="s">
        <v>152</v>
      </c>
      <c r="AZ1" s="3" t="s">
        <v>153</v>
      </c>
      <c r="BA1" s="3" t="s">
        <v>154</v>
      </c>
      <c r="BB1" s="3" t="s">
        <v>155</v>
      </c>
      <c r="BC1" s="3" t="s">
        <v>156</v>
      </c>
      <c r="BD1" s="3" t="s">
        <v>157</v>
      </c>
      <c r="BE1" s="3" t="s">
        <v>158</v>
      </c>
      <c r="BF1" s="3" t="s">
        <v>159</v>
      </c>
      <c r="BG1" s="3" t="s">
        <v>160</v>
      </c>
      <c r="BH1" s="3" t="s">
        <v>161</v>
      </c>
      <c r="BI1" s="3" t="s">
        <v>162</v>
      </c>
      <c r="BJ1" s="3" t="s">
        <v>163</v>
      </c>
      <c r="BK1" s="3" t="s">
        <v>164</v>
      </c>
      <c r="BL1" s="3" t="s">
        <v>165</v>
      </c>
      <c r="BM1" s="3" t="s">
        <v>166</v>
      </c>
      <c r="BN1" s="3" t="s">
        <v>167</v>
      </c>
      <c r="BO1" s="3" t="s">
        <v>168</v>
      </c>
      <c r="BP1" s="3" t="s">
        <v>169</v>
      </c>
      <c r="BQ1" s="3" t="s">
        <v>170</v>
      </c>
      <c r="BR1" s="3" t="s">
        <v>171</v>
      </c>
      <c r="BS1" s="3" t="s">
        <v>172</v>
      </c>
      <c r="BT1" s="3" t="s">
        <v>173</v>
      </c>
      <c r="BU1" s="3" t="s">
        <v>174</v>
      </c>
      <c r="BV1" s="3" t="s">
        <v>175</v>
      </c>
      <c r="BW1" s="3" t="s">
        <v>176</v>
      </c>
      <c r="BX1" s="3" t="s">
        <v>177</v>
      </c>
      <c r="BY1" s="3" t="s">
        <v>178</v>
      </c>
      <c r="BZ1" s="3" t="s">
        <v>179</v>
      </c>
      <c r="CA1" s="3" t="s">
        <v>180</v>
      </c>
      <c r="CB1" s="3" t="s">
        <v>181</v>
      </c>
      <c r="CC1" s="3" t="s">
        <v>182</v>
      </c>
      <c r="CD1" s="3" t="s">
        <v>183</v>
      </c>
      <c r="CE1" s="3" t="s">
        <v>184</v>
      </c>
      <c r="CF1" s="3" t="s">
        <v>185</v>
      </c>
      <c r="CG1" s="3" t="s">
        <v>186</v>
      </c>
      <c r="CH1" s="3" t="s">
        <v>187</v>
      </c>
      <c r="CI1" s="3" t="s">
        <v>188</v>
      </c>
      <c r="CJ1" s="3" t="s">
        <v>189</v>
      </c>
      <c r="CK1" s="3" t="s">
        <v>190</v>
      </c>
      <c r="CL1" s="3" t="s">
        <v>191</v>
      </c>
      <c r="CM1" s="3" t="s">
        <v>192</v>
      </c>
      <c r="CN1" s="3" t="s">
        <v>193</v>
      </c>
      <c r="CO1" s="3" t="s">
        <v>194</v>
      </c>
      <c r="CP1" s="3" t="s">
        <v>195</v>
      </c>
      <c r="CQ1" s="3" t="s">
        <v>196</v>
      </c>
      <c r="CR1" s="3" t="s">
        <v>197</v>
      </c>
      <c r="CS1" s="3" t="s">
        <v>198</v>
      </c>
      <c r="CT1" s="3" t="s">
        <v>199</v>
      </c>
      <c r="CU1" s="3" t="s">
        <v>200</v>
      </c>
      <c r="CV1" s="3" t="s">
        <v>201</v>
      </c>
      <c r="CW1" s="3" t="s">
        <v>202</v>
      </c>
      <c r="CX1" s="3" t="s">
        <v>203</v>
      </c>
      <c r="CY1" s="3" t="s">
        <v>204</v>
      </c>
      <c r="CZ1" s="3"/>
      <c r="DA1" s="3"/>
      <c r="DB1" s="193" t="s">
        <v>206</v>
      </c>
      <c r="DD1" s="4"/>
      <c r="DE1" s="4"/>
      <c r="DF1" s="99"/>
      <c r="DG1" s="100" t="s">
        <v>208</v>
      </c>
      <c r="DH1" s="100"/>
      <c r="DI1" s="5"/>
      <c r="DJ1" s="84" t="s">
        <v>207</v>
      </c>
      <c r="DK1" s="84" t="s">
        <v>207</v>
      </c>
      <c r="DL1" s="4" t="s">
        <v>207</v>
      </c>
      <c r="DM1" s="4" t="s">
        <v>38</v>
      </c>
      <c r="DO1" s="100" t="s">
        <v>2</v>
      </c>
      <c r="DP1" s="100" t="s">
        <v>3</v>
      </c>
      <c r="DQ1" s="100" t="s">
        <v>1</v>
      </c>
      <c r="DR1" s="100" t="s">
        <v>29</v>
      </c>
      <c r="DS1" s="100" t="s">
        <v>7</v>
      </c>
      <c r="DT1" s="100" t="s">
        <v>207</v>
      </c>
    </row>
    <row r="2" spans="1:139" x14ac:dyDescent="0.2">
      <c r="A2" s="1"/>
      <c r="B2" s="2"/>
      <c r="C2" s="1"/>
      <c r="D2" s="1"/>
      <c r="E2" s="194" t="s">
        <v>211</v>
      </c>
      <c r="F2" s="194" t="s">
        <v>210</v>
      </c>
      <c r="G2" s="195" t="s">
        <v>209</v>
      </c>
      <c r="H2" s="196" t="s">
        <v>212</v>
      </c>
      <c r="I2" s="220" t="str">
        <f>'Race 1'!$B$1</f>
        <v>WYSEF 1</v>
      </c>
      <c r="J2" s="220" t="str">
        <f>'Race 2'!$B$1</f>
        <v>WC 1</v>
      </c>
      <c r="K2" s="220" t="str">
        <f>'Race 3'!$B$1</f>
        <v>WC 1</v>
      </c>
      <c r="L2" s="220" t="str">
        <f>'Race 4'!$B$1</f>
        <v>WC 2</v>
      </c>
      <c r="M2" s="220" t="str">
        <f>'Race 5'!$B$1</f>
        <v>Altius Cup 1</v>
      </c>
      <c r="N2" s="220" t="str">
        <f>'Race 6'!$B$1</f>
        <v>WC  3</v>
      </c>
      <c r="O2" s="220" t="str">
        <f>'Race 7'!$B$1</f>
        <v>IBU CUP Trial 1</v>
      </c>
      <c r="P2" s="220" t="str">
        <f>'Race 8'!$B$1</f>
        <v>IBU Cup Trial 2</v>
      </c>
      <c r="Q2" s="220" t="str">
        <f>'Race 9'!$B$1</f>
        <v>IBU Cup Trial 2</v>
      </c>
      <c r="R2" s="220" t="str">
        <f>'Race 10'!$B$1</f>
        <v>IBU Cup Trial 3</v>
      </c>
      <c r="S2" s="220" t="str">
        <f>'Race 11'!$B$1</f>
        <v>MN Cup 1</v>
      </c>
      <c r="T2" s="220" t="str">
        <f>'Race 12'!$B$1</f>
        <v>Jr Trials 1</v>
      </c>
      <c r="U2" s="220" t="str">
        <f>'Race 13'!$B$1</f>
        <v>Jr Trials 2</v>
      </c>
      <c r="V2" s="220" t="str">
        <f>'Race 14'!$B$1</f>
        <v>WC 4</v>
      </c>
      <c r="W2" s="220" t="str">
        <f>'Race 15'!$B$1</f>
        <v>IBU 4</v>
      </c>
      <c r="X2" s="220" t="str">
        <f>'Race 16'!$B$1</f>
        <v>IBU 4</v>
      </c>
      <c r="Y2" s="220" t="str">
        <f>'Race 17'!$B$1</f>
        <v>WI 1</v>
      </c>
      <c r="Z2" s="220" t="str">
        <f>'Race 18'!$B$1</f>
        <v>WYSEF</v>
      </c>
      <c r="AA2" s="220" t="str">
        <f>'Race 19'!$B$1</f>
        <v>IBU Cup 5</v>
      </c>
      <c r="AB2" s="220" t="str">
        <f>'Race 20'!$B$1</f>
        <v>WC 5</v>
      </c>
      <c r="AC2" s="220" t="str">
        <f>'Race 21'!$B$1</f>
        <v>IBU Cup 5</v>
      </c>
      <c r="AD2" s="220" t="str">
        <f>'Race 22'!$B$1</f>
        <v>MN Cup 7</v>
      </c>
      <c r="AE2" s="220" t="str">
        <f>'Race 23'!$B$1</f>
        <v>WC 6</v>
      </c>
      <c r="AF2" s="220" t="str">
        <f>'Race 24'!$B$1</f>
        <v>WC 6</v>
      </c>
      <c r="AG2" s="220" t="str">
        <f>'Race 25'!$B$1</f>
        <v>WA 1</v>
      </c>
      <c r="AH2" s="220" t="str">
        <f>'Race 26'!$B$1</f>
        <v>WA 2</v>
      </c>
      <c r="AI2" s="220" t="str">
        <f>'Race 27'!$B$1</f>
        <v>ECH 1</v>
      </c>
      <c r="AJ2" s="220" t="str">
        <f>'Race 28'!$B$1</f>
        <v>ECH 2</v>
      </c>
      <c r="AK2" s="220" t="str">
        <f>'Race 29'!$B$1</f>
        <v>NYSSRA 3</v>
      </c>
      <c r="AL2" s="220" t="str">
        <f>'Race 30'!$B$1</f>
        <v>NYSSRA 4</v>
      </c>
      <c r="AM2" s="220" t="str">
        <f>'Race 31'!$B$1</f>
        <v>NGB R1</v>
      </c>
      <c r="AN2" s="220" t="str">
        <f>'Race 32'!$B$1</f>
        <v>NGB R2</v>
      </c>
      <c r="AO2" s="220" t="str">
        <f>'Race 33'!$B$1</f>
        <v>ESG</v>
      </c>
      <c r="AP2" s="220" t="str">
        <f>'Race 34'!$B$1</f>
        <v>EABC 5</v>
      </c>
      <c r="AQ2" s="220" t="str">
        <f>'Race 35'!$B$1</f>
        <v>NorAm 5</v>
      </c>
      <c r="AR2" s="220" t="str">
        <f>'Race 36'!$B$1</f>
        <v>OWG</v>
      </c>
      <c r="AS2" s="220" t="str">
        <f>'Race 37'!$B$1</f>
        <v>NorAm 5</v>
      </c>
      <c r="AT2" s="220" t="str">
        <f>'Race 38'!$B$1</f>
        <v>OWG</v>
      </c>
      <c r="AU2" s="220" t="str">
        <f>'Race 39'!$B$1</f>
        <v>NorAm 6</v>
      </c>
      <c r="AV2" s="220" t="str">
        <f>'Race 40'!$B$1</f>
        <v>EABC 5</v>
      </c>
      <c r="AW2" s="220" t="str">
        <f>'Race 41'!$B$1</f>
        <v>CO Champs</v>
      </c>
      <c r="AX2" s="220" t="str">
        <f>'Race 42'!$B$1</f>
        <v>CO Champs</v>
      </c>
      <c r="AY2" s="220" t="str">
        <f>'Race 43'!$B$1</f>
        <v>WJYCH 1</v>
      </c>
      <c r="AZ2" s="220" t="str">
        <f>'Race 44'!$B$1</f>
        <v>Jr Cup 3</v>
      </c>
      <c r="BA2" s="220" t="str">
        <f>'Race 45'!$B$1</f>
        <v>Jr Cup 3</v>
      </c>
      <c r="BB2" s="220" t="str">
        <f>'Race 46'!$B$1</f>
        <v>Eur Jr Ch</v>
      </c>
      <c r="BC2" s="220" t="str">
        <f>'Race 47'!$B$1</f>
        <v>Eur Jr Ch</v>
      </c>
      <c r="BD2" s="220" t="str">
        <f>'Race 48'!$B$1</f>
        <v>WJYCH 2</v>
      </c>
      <c r="BE2" s="220" t="str">
        <f>'Race 49'!$B$1</f>
        <v>WA 3</v>
      </c>
      <c r="BF2" s="220" t="str">
        <f>'Race 50'!$B$1</f>
        <v>WJYCH 3</v>
      </c>
      <c r="BG2" s="220" t="str">
        <f>'Race 51'!$B$1</f>
        <v>WI 6</v>
      </c>
      <c r="BH2" s="220" t="str">
        <f>'Race 52'!$B$1</f>
        <v>NG Champs</v>
      </c>
      <c r="BI2" s="220" t="str">
        <f>'Race 53'!$B$1</f>
        <v>NG Champs</v>
      </c>
      <c r="BJ2" s="220" t="str">
        <f>'Race 54'!$B$1</f>
        <v>WC 7</v>
      </c>
      <c r="BK2" s="220" t="str">
        <f>'Race 55'!$B$1</f>
        <v>WC 8</v>
      </c>
      <c r="BL2" s="220" t="str">
        <f>'Race 56'!$B$1</f>
        <v>WA 5</v>
      </c>
      <c r="BM2" s="220" t="str">
        <f>'Race 57'!$B$1</f>
        <v>WA 6</v>
      </c>
      <c r="BN2" s="220" t="str">
        <f>'Race 58'!$B$1</f>
        <v>WMCh</v>
      </c>
      <c r="BO2" s="220" t="str">
        <f>'Race 59'!$B$1</f>
        <v>Natl Chmps</v>
      </c>
      <c r="BP2" s="220" t="str">
        <f>'Race 60'!$B$1</f>
        <v>Natl Chmps</v>
      </c>
      <c r="BQ2" s="220" t="str">
        <f>'Race 61'!$B$1</f>
        <v>Natl Chmps</v>
      </c>
      <c r="BR2" s="220" t="str">
        <f>'Race 62'!$B$1</f>
        <v>Natl Chmps</v>
      </c>
      <c r="BS2" s="220" t="str">
        <f>'Race 63'!$B$1</f>
        <v>CA 1</v>
      </c>
      <c r="BT2" s="220" t="str">
        <f>'Race 64'!$B$1</f>
        <v>CA 2</v>
      </c>
      <c r="BU2" s="220" t="str">
        <f>'Race 65'!$B$1</f>
        <v>CA 3</v>
      </c>
      <c r="BV2" s="220" t="str">
        <f>'Race 66'!$B$1</f>
        <v>CA 4</v>
      </c>
      <c r="BW2" s="220" t="str">
        <f>'Race 67'!$B$1</f>
        <v>Natl Champs</v>
      </c>
      <c r="BX2" s="220" t="str">
        <f>'Race 68'!$B$1</f>
        <v>Natl Champs</v>
      </c>
      <c r="BY2" s="220">
        <f>'Race 69'!$B$1</f>
        <v>0</v>
      </c>
      <c r="BZ2" s="220">
        <f>'Race 70'!$B$1</f>
        <v>0</v>
      </c>
      <c r="CA2" s="220">
        <f>'Race 71'!$B$1</f>
        <v>0</v>
      </c>
      <c r="CB2" s="220">
        <f>'Race 72'!$B$1</f>
        <v>0</v>
      </c>
      <c r="CC2" s="220">
        <f>'Race 73'!$B$1</f>
        <v>0</v>
      </c>
      <c r="CD2" s="220">
        <f>'Race 74'!$B$1</f>
        <v>0</v>
      </c>
      <c r="CE2" s="220">
        <f>'Race 75'!$B$1</f>
        <v>0</v>
      </c>
      <c r="CF2" s="220">
        <f>'Race 76'!$B$1</f>
        <v>0</v>
      </c>
      <c r="CG2" s="220">
        <f>'Race 77'!$B$1</f>
        <v>0</v>
      </c>
      <c r="CH2" s="220">
        <f>'Race 78'!$B$1</f>
        <v>0</v>
      </c>
      <c r="CI2" s="220">
        <f>'Race 79'!$B$1</f>
        <v>0</v>
      </c>
      <c r="CJ2" s="220">
        <f>'Race 80'!$B$1</f>
        <v>0</v>
      </c>
      <c r="CK2" s="220">
        <f>'Race 81'!$B$1</f>
        <v>0</v>
      </c>
      <c r="CL2" s="220">
        <f>'Race 82'!$B$1</f>
        <v>0</v>
      </c>
      <c r="CM2" s="220">
        <f>'Race 83'!$B$1</f>
        <v>0</v>
      </c>
      <c r="CN2" s="220">
        <f>'Race 84'!$B$1</f>
        <v>0</v>
      </c>
      <c r="CO2" s="220">
        <f>'Race 85'!$B$1</f>
        <v>0</v>
      </c>
      <c r="CP2" s="220">
        <f>'Race 86'!$B$1</f>
        <v>0</v>
      </c>
      <c r="CQ2" s="220">
        <f>'Race 87'!$B$1</f>
        <v>0</v>
      </c>
      <c r="CR2" s="220"/>
      <c r="CS2" s="220"/>
      <c r="CT2" s="220"/>
      <c r="CU2" s="220"/>
      <c r="CV2" s="220"/>
      <c r="CW2" s="220"/>
      <c r="CX2" s="220"/>
      <c r="CY2" s="220"/>
      <c r="CZ2" s="201"/>
      <c r="DA2" s="3"/>
      <c r="DB2" t="s">
        <v>205</v>
      </c>
      <c r="DD2" s="4"/>
      <c r="DE2" s="4">
        <v>2018</v>
      </c>
      <c r="DF2" s="100">
        <v>43101</v>
      </c>
      <c r="DG2" s="100">
        <v>43132</v>
      </c>
      <c r="DH2" s="100" t="s">
        <v>59</v>
      </c>
      <c r="DI2" s="5"/>
      <c r="DJ2" s="84">
        <v>43101</v>
      </c>
      <c r="DK2" s="84">
        <v>43132</v>
      </c>
      <c r="DL2" s="4" t="s">
        <v>328</v>
      </c>
      <c r="DM2" s="4" t="s">
        <v>59</v>
      </c>
      <c r="DO2" s="100"/>
      <c r="DP2" s="100"/>
      <c r="DQ2" s="100"/>
      <c r="DR2" s="100"/>
      <c r="DS2" s="100" t="s">
        <v>217</v>
      </c>
      <c r="DT2" s="100">
        <v>41275</v>
      </c>
    </row>
    <row r="3" spans="1:139" x14ac:dyDescent="0.2">
      <c r="A3" s="27" t="s">
        <v>2</v>
      </c>
      <c r="B3" s="28" t="s">
        <v>3</v>
      </c>
      <c r="C3" s="28"/>
      <c r="D3" s="28"/>
      <c r="E3" s="197" t="s">
        <v>326</v>
      </c>
      <c r="F3" s="197" t="s">
        <v>327</v>
      </c>
      <c r="G3" s="198" t="s">
        <v>8</v>
      </c>
      <c r="H3" s="198" t="s">
        <v>213</v>
      </c>
      <c r="I3" s="201">
        <f>'Race 1'!$B$2</f>
        <v>43061</v>
      </c>
      <c r="J3" s="201">
        <f>'Race 2'!$B$2</f>
        <v>43068</v>
      </c>
      <c r="K3" s="201">
        <f>'Race 3'!$B$2</f>
        <v>43070</v>
      </c>
      <c r="L3" s="201">
        <f>'Race 4'!$B$2</f>
        <v>43077</v>
      </c>
      <c r="M3" s="201">
        <f>'Race 5'!$B$2</f>
        <v>43020</v>
      </c>
      <c r="N3" s="201">
        <f>'Race 6'!$B$2</f>
        <v>43083</v>
      </c>
      <c r="O3" s="201">
        <f>'Race 7'!$B$2</f>
        <v>43084</v>
      </c>
      <c r="P3" s="201">
        <f>'Race 8'!$B$2</f>
        <v>43085</v>
      </c>
      <c r="Q3" s="201">
        <f>'Race 9'!$B$2</f>
        <v>43086</v>
      </c>
      <c r="R3" s="201">
        <f>'Race 10'!$B$2</f>
        <v>43088</v>
      </c>
      <c r="S3" s="201">
        <f>'Race 11'!$B$2</f>
        <v>43079</v>
      </c>
      <c r="T3" s="201">
        <f>'Race 12'!$B$2</f>
        <v>43097</v>
      </c>
      <c r="U3" s="201">
        <f>'Race 13'!$B$2</f>
        <v>43098</v>
      </c>
      <c r="V3" s="201">
        <f>'Race 14'!$B$2</f>
        <v>43104</v>
      </c>
      <c r="W3" s="201">
        <f>'Race 15'!$B$2</f>
        <v>43105</v>
      </c>
      <c r="X3" s="201">
        <f>'Race 16'!$B$2</f>
        <v>43106</v>
      </c>
      <c r="Y3" s="201">
        <f>'Race 17'!$B$2</f>
        <v>43107</v>
      </c>
      <c r="Z3" s="201">
        <f>'Race 18'!$B$2</f>
        <v>43107</v>
      </c>
      <c r="AA3" s="201">
        <f>'Race 19'!$B$2</f>
        <v>43111</v>
      </c>
      <c r="AB3" s="201">
        <f>'Race 20'!$B$2</f>
        <v>43111</v>
      </c>
      <c r="AC3" s="201">
        <f>'Race 21'!$B$2</f>
        <v>43113</v>
      </c>
      <c r="AD3" s="201">
        <f>'Race 22'!$B$2</f>
        <v>43114</v>
      </c>
      <c r="AE3" s="201">
        <f>'Race 23'!$B$2</f>
        <v>43118</v>
      </c>
      <c r="AF3" s="201">
        <f>'Race 24'!$B$2</f>
        <v>42755</v>
      </c>
      <c r="AG3" s="201">
        <f>'Race 25'!$B$2</f>
        <v>43120</v>
      </c>
      <c r="AH3" s="201">
        <f>'Race 26'!$B$2</f>
        <v>43121</v>
      </c>
      <c r="AI3" s="201">
        <f>'Race 27'!$B$2</f>
        <v>43124</v>
      </c>
      <c r="AJ3" s="201">
        <f>'Race 28'!$B$2</f>
        <v>43126</v>
      </c>
      <c r="AK3" s="201">
        <f>'Race 29'!$B$2</f>
        <v>43127</v>
      </c>
      <c r="AL3" s="201">
        <f>'Race 30'!$B$2</f>
        <v>43128</v>
      </c>
      <c r="AM3" s="201">
        <f>'Race 31'!$B$2</f>
        <v>43126</v>
      </c>
      <c r="AN3" s="201">
        <f>'Race 32'!$B$2</f>
        <v>43127</v>
      </c>
      <c r="AO3" s="201">
        <f>'Race 33'!$B$2</f>
        <v>43134</v>
      </c>
      <c r="AP3" s="201">
        <f>'Race 34'!$B$2</f>
        <v>43132</v>
      </c>
      <c r="AQ3" s="201">
        <f>'Race 35'!$B$2</f>
        <v>43141</v>
      </c>
      <c r="AR3" s="201">
        <f>'Race 36'!$B$2</f>
        <v>43141</v>
      </c>
      <c r="AS3" s="201">
        <f>'Race 37'!$B$2</f>
        <v>43142</v>
      </c>
      <c r="AT3" s="201">
        <f>'Race 38'!$B$2</f>
        <v>43147</v>
      </c>
      <c r="AU3" s="201">
        <f>'Race 39'!$B$2</f>
        <v>43148</v>
      </c>
      <c r="AV3" s="201">
        <f>'Race 40'!$B$2</f>
        <v>43146</v>
      </c>
      <c r="AW3" s="201">
        <f>'Race 41'!$B$2</f>
        <v>43148</v>
      </c>
      <c r="AX3" s="201">
        <f>'Race 42'!$B$2</f>
        <v>43149</v>
      </c>
      <c r="AY3" s="201">
        <f>'Race 43'!$B$2</f>
        <v>43156</v>
      </c>
      <c r="AZ3" s="201">
        <f>'Race 44'!$B$2</f>
        <v>43126</v>
      </c>
      <c r="BA3" s="201">
        <f>'Race 45'!$B$2</f>
        <v>43127</v>
      </c>
      <c r="BB3" s="201">
        <f>'Race 46'!$B$2</f>
        <v>43132</v>
      </c>
      <c r="BC3" s="201">
        <f>'Race 47'!$B$2</f>
        <v>43134</v>
      </c>
      <c r="BD3" s="201">
        <f>'Race 48'!$B$2</f>
        <v>43161</v>
      </c>
      <c r="BE3" s="201">
        <f>'Race 49'!$B$2</f>
        <v>43155</v>
      </c>
      <c r="BF3" s="201">
        <f>'Race 50'!$B$2</f>
        <v>43163</v>
      </c>
      <c r="BG3" s="201">
        <f>'Race 51'!$B$2</f>
        <v>43164</v>
      </c>
      <c r="BH3" s="201">
        <f>'Race 52'!$B$2</f>
        <v>43160</v>
      </c>
      <c r="BI3" s="201">
        <f>'Race 53'!$B$2</f>
        <v>43161</v>
      </c>
      <c r="BJ3" s="201">
        <f>'Race 54'!$B$2</f>
        <v>43168</v>
      </c>
      <c r="BK3" s="201">
        <f>'Race 55'!$B$2</f>
        <v>43174</v>
      </c>
      <c r="BL3" s="201">
        <f>'Race 56'!$B$2</f>
        <v>43169</v>
      </c>
      <c r="BM3" s="201">
        <f>'Race 57'!$B$2</f>
        <v>43170</v>
      </c>
      <c r="BN3" s="201">
        <f>'Race 58'!$B$2</f>
        <v>43181</v>
      </c>
      <c r="BO3" s="201">
        <f>'Race 59'!$B$2</f>
        <v>43188</v>
      </c>
      <c r="BP3" s="201">
        <f>'Race 60'!$B$2</f>
        <v>43188</v>
      </c>
      <c r="BQ3" s="201">
        <f>'Race 61'!$B$2</f>
        <v>43189</v>
      </c>
      <c r="BR3" s="201">
        <f>'Race 62'!$B$2</f>
        <v>43189</v>
      </c>
      <c r="BS3" s="201">
        <f>'Race 63'!$B$2</f>
        <v>43141</v>
      </c>
      <c r="BT3" s="201">
        <f>'Race 64'!$B$2</f>
        <v>43142</v>
      </c>
      <c r="BU3" s="201">
        <f>'Race 65'!$B$2</f>
        <v>43169</v>
      </c>
      <c r="BV3" s="201">
        <f>'Race 66'!$B$2</f>
        <v>43170</v>
      </c>
      <c r="BW3" s="201">
        <f>'Race 67'!$B$2</f>
        <v>43190</v>
      </c>
      <c r="BX3" s="201">
        <f>'Race 68'!$B$2</f>
        <v>43190</v>
      </c>
      <c r="BY3" s="201">
        <f>'Race 69'!$B$2</f>
        <v>0</v>
      </c>
      <c r="BZ3" s="201">
        <f>'Race 70'!$B$2</f>
        <v>0</v>
      </c>
      <c r="CA3" s="201">
        <f>'Race 71'!$B$2</f>
        <v>0</v>
      </c>
      <c r="CB3" s="201">
        <f>'Race 72'!$B$2</f>
        <v>0</v>
      </c>
      <c r="CC3" s="201">
        <f>'Race 73'!$B$2</f>
        <v>0</v>
      </c>
      <c r="CD3" s="201">
        <f>'Race 74'!$B$2</f>
        <v>0</v>
      </c>
      <c r="CE3" s="201">
        <f>'Race 75'!$B$2</f>
        <v>0</v>
      </c>
      <c r="CF3" s="201">
        <f>'Race 76'!$B$2</f>
        <v>0</v>
      </c>
      <c r="CG3" s="201">
        <f>'Race 77'!$B$2</f>
        <v>0</v>
      </c>
      <c r="CH3" s="201">
        <f>'Race 78'!$B$2</f>
        <v>0</v>
      </c>
      <c r="CI3" s="201">
        <f>'Race 79'!$B$2</f>
        <v>0</v>
      </c>
      <c r="CJ3" s="201">
        <f>'Race 80'!$B$2</f>
        <v>0</v>
      </c>
      <c r="CK3" s="201">
        <f>'Race 81'!$B$2</f>
        <v>0</v>
      </c>
      <c r="CL3" s="201">
        <f>'Race 82'!$B$2</f>
        <v>0</v>
      </c>
      <c r="CM3" s="201">
        <f>'Race 83'!$B$2</f>
        <v>0</v>
      </c>
      <c r="CN3" s="201">
        <f>'Race 84'!$B$2</f>
        <v>0</v>
      </c>
      <c r="CO3" s="201">
        <f>'Race 85'!$B$2</f>
        <v>0</v>
      </c>
      <c r="CP3" s="201">
        <f>'Race 86'!$B$2</f>
        <v>0</v>
      </c>
      <c r="CQ3" s="201">
        <f>'Race 87'!$B$2</f>
        <v>0</v>
      </c>
      <c r="CR3" s="201"/>
      <c r="CS3" s="201"/>
      <c r="CT3" s="201"/>
      <c r="CU3" s="201"/>
      <c r="CV3" s="201"/>
      <c r="CW3" s="201"/>
      <c r="CX3" s="201"/>
      <c r="CY3" s="201"/>
      <c r="CZ3" s="201">
        <f>'Race 72'!$B$2</f>
        <v>0</v>
      </c>
      <c r="DA3" s="3" t="s">
        <v>26</v>
      </c>
      <c r="DD3" s="4" t="s">
        <v>329</v>
      </c>
      <c r="DE3" s="4" t="s">
        <v>38</v>
      </c>
      <c r="DF3" s="4" t="s">
        <v>8</v>
      </c>
      <c r="DG3" s="4" t="s">
        <v>8</v>
      </c>
      <c r="DH3" s="4" t="s">
        <v>8</v>
      </c>
      <c r="DI3" s="4" t="s">
        <v>29</v>
      </c>
      <c r="DJ3" s="4" t="s">
        <v>4</v>
      </c>
      <c r="DK3" s="4" t="s">
        <v>4</v>
      </c>
      <c r="DL3" s="4" t="s">
        <v>4</v>
      </c>
      <c r="DM3" s="4" t="s">
        <v>61</v>
      </c>
      <c r="DO3" s="100"/>
      <c r="DP3" s="100"/>
      <c r="DQ3" s="100"/>
      <c r="DR3" s="100"/>
      <c r="DS3" s="100" t="s">
        <v>8</v>
      </c>
      <c r="DT3" s="100" t="s">
        <v>4</v>
      </c>
      <c r="DY3" s="114" t="s">
        <v>80</v>
      </c>
    </row>
    <row r="4" spans="1:139" x14ac:dyDescent="0.2">
      <c r="A4" s="21">
        <v>1</v>
      </c>
      <c r="B4" s="303" t="s">
        <v>483</v>
      </c>
      <c r="C4" s="23" t="s">
        <v>5</v>
      </c>
      <c r="D4" s="111" t="s">
        <v>423</v>
      </c>
      <c r="E4" s="24">
        <v>0</v>
      </c>
      <c r="F4" s="24">
        <v>0</v>
      </c>
      <c r="G4" s="23">
        <f t="shared" ref="G4:G35" si="0">COUNT(I4:CZ4)</f>
        <v>2</v>
      </c>
      <c r="H4" s="24">
        <v>0</v>
      </c>
      <c r="I4" s="85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95"/>
      <c r="U4" s="295"/>
      <c r="V4" s="296"/>
      <c r="W4" s="192"/>
      <c r="X4" s="95"/>
      <c r="Y4" s="95"/>
      <c r="Z4" s="95"/>
      <c r="AA4" s="95"/>
      <c r="AB4" s="95"/>
      <c r="AC4" s="95"/>
      <c r="AD4" s="95"/>
      <c r="AE4" s="95"/>
      <c r="AF4" s="108"/>
      <c r="AG4" s="192"/>
      <c r="AH4" s="192"/>
      <c r="AI4" s="192"/>
      <c r="AJ4" s="192"/>
      <c r="AK4" s="192"/>
      <c r="AL4" s="192"/>
      <c r="AM4" s="192"/>
      <c r="AN4" s="248"/>
      <c r="AO4" s="249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95"/>
      <c r="BA4" s="192"/>
      <c r="BB4" s="192"/>
      <c r="BC4" s="95"/>
      <c r="BD4" s="192"/>
      <c r="BE4" s="95"/>
      <c r="BF4" s="192"/>
      <c r="BG4" s="192"/>
      <c r="BH4" s="192">
        <f>(INDEX('Race 52'!$E$8:$E$200,(MATCH($B4,'Race 52'!$B$8:$B$200,0)),1))*100</f>
        <v>21.547775349227138</v>
      </c>
      <c r="BI4" s="192">
        <f>(INDEX('Race 53'!$E$8:$E$200,(MATCH($B4,'Race 53'!$B$8:$B$200,0)),1))*100</f>
        <v>33.727632677292902</v>
      </c>
      <c r="BJ4" s="192"/>
      <c r="BK4" s="192"/>
      <c r="BL4" s="192"/>
      <c r="BM4" s="192"/>
      <c r="BN4" s="95"/>
      <c r="BO4" s="192"/>
      <c r="BP4" s="192"/>
      <c r="BQ4" s="192"/>
      <c r="BR4" s="192"/>
      <c r="BS4" s="192"/>
      <c r="BT4" s="192"/>
      <c r="BU4" s="95"/>
      <c r="BV4" s="95"/>
      <c r="BW4" s="95"/>
      <c r="BX4" s="192"/>
      <c r="BY4" s="192"/>
      <c r="BZ4" s="192"/>
      <c r="CA4" s="192"/>
      <c r="CB4" s="192"/>
      <c r="CC4" s="192"/>
      <c r="CD4" s="192"/>
      <c r="CE4" s="192"/>
      <c r="CF4" s="192"/>
      <c r="CG4" s="95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95"/>
      <c r="CY4" s="95"/>
      <c r="CZ4" s="192"/>
      <c r="DA4" s="14">
        <f t="shared" ref="DA4:DA35" si="1">IF(DC4&gt;0,AVERAGE(I4:CZ4),H4)</f>
        <v>27.63770401326002</v>
      </c>
      <c r="DB4" s="53" t="str">
        <f t="shared" ref="DB4:DB35" si="2">B4</f>
        <v>ALEXANDER, MICHALA</v>
      </c>
      <c r="DC4" s="68">
        <f t="shared" ref="DC4:DC35" si="3">IF(G4&gt;0,1,0)</f>
        <v>1</v>
      </c>
      <c r="DD4" s="62">
        <v>0</v>
      </c>
      <c r="DE4" s="209">
        <f t="shared" ref="DE4:DE35" si="4">DM4</f>
        <v>27.157024676486213</v>
      </c>
      <c r="DF4" s="115">
        <f t="shared" ref="DF4:DF18" si="5">COUNT(I4:X4)</f>
        <v>0</v>
      </c>
      <c r="DG4" s="4">
        <f t="shared" ref="DG4:DG35" si="6">COUNT(I4:AT4)</f>
        <v>0</v>
      </c>
      <c r="DH4" s="115">
        <f t="shared" ref="DH4:DH35" si="7">COUNT(I4:CZ4)</f>
        <v>2</v>
      </c>
      <c r="DI4" s="115" t="str">
        <f t="shared" ref="DI4:DI35" si="8">D4</f>
        <v>PA</v>
      </c>
      <c r="DJ4" s="62">
        <f>IF(COUNT(I4:U4)&lt;5,DA4,SUMPRODUCT(LARGE(I4:U4,{1,2,3,4,5}))/5)</f>
        <v>27.63770401326002</v>
      </c>
      <c r="DK4" s="62">
        <f>IF(COUNT(I4:AN4)&lt;5,DA4,SUMPRODUCT(LARGE(I4:AN4,{1,2,3,4,5}))/5)</f>
        <v>27.63770401326002</v>
      </c>
      <c r="DL4" s="209">
        <f>IF(COUNT(J4:CZ4)&lt;5,AVERAGE(J4:CZ4),SUMPRODUCT(LARGE(J4:CZ4,{1,2,3,4,5}))/5)</f>
        <v>27.63770401326002</v>
      </c>
      <c r="DM4" s="62">
        <f>(DL4*100)/101.77</f>
        <v>27.157024676486213</v>
      </c>
      <c r="DN4" s="13" t="str">
        <f t="shared" ref="DN4:DN35" si="9">B4</f>
        <v>ALEXANDER, MICHALA</v>
      </c>
      <c r="DO4" s="126">
        <v>1</v>
      </c>
      <c r="DP4" s="141"/>
      <c r="DQ4" s="80"/>
      <c r="DR4" s="80"/>
      <c r="DS4" s="203"/>
      <c r="DT4" s="14"/>
      <c r="DU4" s="127"/>
      <c r="DV4" s="127"/>
      <c r="DW4" s="13"/>
      <c r="DX4" s="126"/>
      <c r="DY4" s="141"/>
      <c r="DZ4" s="80"/>
      <c r="EA4" s="80"/>
      <c r="EB4" s="120"/>
      <c r="EC4" s="127"/>
      <c r="ED4" s="127"/>
      <c r="EE4" s="127"/>
      <c r="EF4" s="13"/>
      <c r="EG4" s="13"/>
      <c r="EI4" s="152"/>
    </row>
    <row r="5" spans="1:139" x14ac:dyDescent="0.2">
      <c r="A5" s="7">
        <v>2</v>
      </c>
      <c r="B5" s="119" t="s">
        <v>230</v>
      </c>
      <c r="C5" s="9" t="s">
        <v>5</v>
      </c>
      <c r="D5" s="9" t="s">
        <v>77</v>
      </c>
      <c r="E5" s="10">
        <v>45.806459155744015</v>
      </c>
      <c r="F5" s="10">
        <v>50.880479596598668</v>
      </c>
      <c r="G5" s="9">
        <f t="shared" si="0"/>
        <v>3</v>
      </c>
      <c r="H5" s="93">
        <v>45.806459155744015</v>
      </c>
      <c r="I5" s="46"/>
      <c r="J5" s="11"/>
      <c r="K5" s="11"/>
      <c r="L5" s="11"/>
      <c r="M5" s="11"/>
      <c r="N5" s="11"/>
      <c r="O5" s="11"/>
      <c r="P5" s="11"/>
      <c r="Q5" s="11"/>
      <c r="R5" s="11"/>
      <c r="S5" s="11"/>
      <c r="T5" s="96"/>
      <c r="U5" s="297"/>
      <c r="V5" s="298"/>
      <c r="W5" s="11"/>
      <c r="X5" s="96"/>
      <c r="Y5" s="96"/>
      <c r="Z5" s="96"/>
      <c r="AA5" s="96"/>
      <c r="AB5" s="96"/>
      <c r="AC5" s="96"/>
      <c r="AD5" s="96"/>
      <c r="AE5" s="96"/>
      <c r="AF5" s="110"/>
      <c r="AG5" s="11"/>
      <c r="AH5" s="11"/>
      <c r="AI5" s="11"/>
      <c r="AJ5" s="11"/>
      <c r="AK5" s="11"/>
      <c r="AL5" s="11"/>
      <c r="AM5" s="11">
        <f>(INDEX('Race 31'!$E$8:$E$200,(MATCH($B5,'Race 31'!$B$8:$B$200,0)),1))*100</f>
        <v>50.880479596598668</v>
      </c>
      <c r="AN5" s="250"/>
      <c r="AO5" s="25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96"/>
      <c r="BA5" s="11"/>
      <c r="BB5" s="11"/>
      <c r="BC5" s="96"/>
      <c r="BD5" s="11"/>
      <c r="BE5" s="96"/>
      <c r="BF5" s="11"/>
      <c r="BG5" s="11"/>
      <c r="BH5" s="11">
        <f>(INDEX('Race 52'!$E$8:$E$200,(MATCH($B5,'Race 52'!$B$8:$B$200,0)),1))*100</f>
        <v>42.410441943760766</v>
      </c>
      <c r="BI5" s="11">
        <f>(INDEX('Race 53'!$E$8:$E$200,(MATCH($B5,'Race 53'!$B$8:$B$200,0)),1))*100</f>
        <v>43.009751753606167</v>
      </c>
      <c r="BJ5" s="11"/>
      <c r="BK5" s="11"/>
      <c r="BL5" s="11"/>
      <c r="BM5" s="11"/>
      <c r="BN5" s="96"/>
      <c r="BO5" s="11"/>
      <c r="BP5" s="11"/>
      <c r="BQ5" s="11"/>
      <c r="BR5" s="11"/>
      <c r="BS5" s="11"/>
      <c r="BT5" s="11"/>
      <c r="BU5" s="11"/>
      <c r="BV5" s="11"/>
      <c r="BW5" s="96"/>
      <c r="BX5" s="11"/>
      <c r="BY5" s="11"/>
      <c r="BZ5" s="11"/>
      <c r="CA5" s="11"/>
      <c r="CB5" s="11"/>
      <c r="CC5" s="11"/>
      <c r="CD5" s="11"/>
      <c r="CE5" s="11"/>
      <c r="CF5" s="11"/>
      <c r="CG5" s="96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96"/>
      <c r="CY5" s="96"/>
      <c r="CZ5" s="11"/>
      <c r="DA5" s="26">
        <f t="shared" si="1"/>
        <v>45.433557764655198</v>
      </c>
      <c r="DB5" s="42" t="str">
        <f t="shared" si="2"/>
        <v>Anderson, Ashley</v>
      </c>
      <c r="DC5" s="43">
        <f t="shared" si="3"/>
        <v>1</v>
      </c>
      <c r="DD5" s="62">
        <v>45.806459155744015</v>
      </c>
      <c r="DE5" s="62">
        <f t="shared" si="4"/>
        <v>44.643370113643705</v>
      </c>
      <c r="DF5" s="4">
        <f t="shared" si="5"/>
        <v>0</v>
      </c>
      <c r="DG5" s="4">
        <f t="shared" si="6"/>
        <v>1</v>
      </c>
      <c r="DH5" s="4">
        <f t="shared" si="7"/>
        <v>3</v>
      </c>
      <c r="DI5" s="4" t="str">
        <f t="shared" si="8"/>
        <v>MO</v>
      </c>
      <c r="DJ5" s="62">
        <f>IF(COUNT(I5:U5)&lt;5,DA5,SUMPRODUCT(LARGE(I5:U5,{1,2,3,4,5}))/5)</f>
        <v>45.433557764655198</v>
      </c>
      <c r="DK5" s="62">
        <f>IF(COUNT(I5:AN5)&lt;5,DA5,SUMPRODUCT(LARGE(I5:AN5,{1,2,3,4,5}))/5)</f>
        <v>45.433557764655198</v>
      </c>
      <c r="DL5" s="209">
        <f>IF(COUNT(J5:CZ5)&lt;5,AVERAGE(J5:CZ5),SUMPRODUCT(LARGE(J5:CZ5,{1,2,3,4,5}))/5)</f>
        <v>45.433557764655198</v>
      </c>
      <c r="DM5" s="62">
        <f t="shared" ref="DM5:DM68" si="10">(DL5*100)/101.77</f>
        <v>44.643370113643705</v>
      </c>
      <c r="DN5" s="13" t="str">
        <f t="shared" si="9"/>
        <v>Anderson, Ashley</v>
      </c>
      <c r="DO5" s="7">
        <v>2</v>
      </c>
      <c r="DP5" s="8"/>
      <c r="DQ5" s="9"/>
      <c r="DR5" s="9"/>
      <c r="DS5" s="121"/>
      <c r="DT5" s="128"/>
      <c r="DU5" s="128"/>
      <c r="DV5" s="128"/>
      <c r="DW5" s="13"/>
      <c r="DX5" s="7"/>
      <c r="DY5" s="16"/>
      <c r="DZ5" s="9"/>
      <c r="EA5" s="9"/>
      <c r="EB5" s="121"/>
      <c r="EC5" s="128"/>
      <c r="ED5" s="128"/>
      <c r="EE5" s="128"/>
      <c r="EF5" s="13"/>
      <c r="EG5" s="13"/>
      <c r="EI5" s="152"/>
    </row>
    <row r="6" spans="1:139" x14ac:dyDescent="0.2">
      <c r="A6" s="7">
        <v>3</v>
      </c>
      <c r="B6" s="119" t="s">
        <v>441</v>
      </c>
      <c r="C6" s="9" t="s">
        <v>5</v>
      </c>
      <c r="D6" s="9" t="s">
        <v>37</v>
      </c>
      <c r="E6" s="10">
        <v>0</v>
      </c>
      <c r="F6" s="10">
        <v>0</v>
      </c>
      <c r="G6" s="9">
        <f t="shared" si="0"/>
        <v>1</v>
      </c>
      <c r="H6" s="93">
        <v>0</v>
      </c>
      <c r="I6" s="46"/>
      <c r="J6" s="11"/>
      <c r="K6" s="11"/>
      <c r="L6" s="11"/>
      <c r="M6" s="11"/>
      <c r="N6" s="11"/>
      <c r="O6" s="11"/>
      <c r="P6" s="11"/>
      <c r="Q6" s="11"/>
      <c r="R6" s="11"/>
      <c r="S6" s="11"/>
      <c r="T6" s="96"/>
      <c r="U6" s="297"/>
      <c r="V6" s="298"/>
      <c r="W6" s="11"/>
      <c r="X6" s="96"/>
      <c r="Y6" s="96"/>
      <c r="Z6" s="96"/>
      <c r="AA6" s="96"/>
      <c r="AB6" s="96"/>
      <c r="AC6" s="96"/>
      <c r="AD6" s="96"/>
      <c r="AE6" s="96"/>
      <c r="AF6" s="110"/>
      <c r="AG6" s="11"/>
      <c r="AH6" s="11"/>
      <c r="AI6" s="11"/>
      <c r="AJ6" s="11"/>
      <c r="AK6" s="11"/>
      <c r="AL6" s="11"/>
      <c r="AM6" s="11"/>
      <c r="AN6" s="250"/>
      <c r="AO6" s="251"/>
      <c r="AP6" s="11"/>
      <c r="AQ6" s="11"/>
      <c r="AR6" s="11"/>
      <c r="AS6" s="11"/>
      <c r="AT6" s="11"/>
      <c r="AU6" s="11"/>
      <c r="AV6" s="11"/>
      <c r="AW6" s="11"/>
      <c r="AX6" s="11">
        <f>(INDEX('Race 42'!$E$8:$E$200,(MATCH($B6,'Race 42'!$B$8:$B$200,0)),1))*100</f>
        <v>55.306266900451618</v>
      </c>
      <c r="AY6" s="11"/>
      <c r="AZ6" s="11"/>
      <c r="BA6" s="11"/>
      <c r="BB6" s="11"/>
      <c r="BC6" s="11"/>
      <c r="BD6" s="11"/>
      <c r="BE6" s="96"/>
      <c r="BF6" s="11"/>
      <c r="BG6" s="11"/>
      <c r="BH6" s="11"/>
      <c r="BI6" s="11"/>
      <c r="BJ6" s="11"/>
      <c r="BK6" s="11"/>
      <c r="BL6" s="11"/>
      <c r="BM6" s="11"/>
      <c r="BN6" s="96"/>
      <c r="BO6" s="11"/>
      <c r="BP6" s="11"/>
      <c r="BQ6" s="11"/>
      <c r="BR6" s="11"/>
      <c r="BS6" s="11"/>
      <c r="BT6" s="11"/>
      <c r="BU6" s="96"/>
      <c r="BV6" s="96"/>
      <c r="BW6" s="96"/>
      <c r="BX6" s="11"/>
      <c r="BY6" s="11"/>
      <c r="BZ6" s="11"/>
      <c r="CA6" s="11"/>
      <c r="CB6" s="11"/>
      <c r="CC6" s="11"/>
      <c r="CD6" s="11"/>
      <c r="CE6" s="11"/>
      <c r="CF6" s="11"/>
      <c r="CG6" s="96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96"/>
      <c r="CY6" s="96"/>
      <c r="CZ6" s="11"/>
      <c r="DA6" s="26">
        <f t="shared" si="1"/>
        <v>55.306266900451618</v>
      </c>
      <c r="DB6" s="53" t="str">
        <f t="shared" si="2"/>
        <v>Anderson, Jolene</v>
      </c>
      <c r="DC6" s="68">
        <f t="shared" si="3"/>
        <v>1</v>
      </c>
      <c r="DD6" s="62">
        <v>66.367715995604314</v>
      </c>
      <c r="DE6" s="209">
        <f t="shared" si="4"/>
        <v>54.344371524468528</v>
      </c>
      <c r="DF6" s="115">
        <f t="shared" si="5"/>
        <v>0</v>
      </c>
      <c r="DG6" s="4">
        <f t="shared" si="6"/>
        <v>0</v>
      </c>
      <c r="DH6" s="115">
        <f t="shared" si="7"/>
        <v>1</v>
      </c>
      <c r="DI6" s="115" t="str">
        <f t="shared" si="8"/>
        <v>CO</v>
      </c>
      <c r="DJ6" s="62">
        <f>IF(COUNT(I6:U6)&lt;5,DA6,SUMPRODUCT(LARGE(I6:U6,{1,2,3,4,5}))/5)</f>
        <v>55.306266900451618</v>
      </c>
      <c r="DK6" s="62">
        <f>IF(COUNT(I6:AN6)&lt;5,DA6,SUMPRODUCT(LARGE(I6:AN6,{1,2,3,4,5}))/5)</f>
        <v>55.306266900451618</v>
      </c>
      <c r="DL6" s="209">
        <f>IF(COUNT(J6:CZ6)&lt;5,AVERAGE(J6:CZ6),SUMPRODUCT(LARGE(J6:CZ6,{1,2,3,4,5}))/5)</f>
        <v>55.306266900451618</v>
      </c>
      <c r="DM6" s="62">
        <f t="shared" si="10"/>
        <v>54.344371524468528</v>
      </c>
      <c r="DN6" s="13" t="str">
        <f t="shared" si="9"/>
        <v>Anderson, Jolene</v>
      </c>
      <c r="DO6" s="7">
        <v>3</v>
      </c>
      <c r="DP6" s="16"/>
      <c r="DQ6" s="9"/>
      <c r="DR6" s="9"/>
      <c r="DS6" s="139"/>
      <c r="DT6" s="15"/>
      <c r="DU6" s="128"/>
      <c r="DV6" s="128"/>
      <c r="DW6" s="13"/>
      <c r="DX6" s="7"/>
      <c r="DY6" s="8"/>
      <c r="DZ6" s="9"/>
      <c r="EA6" s="9"/>
      <c r="EB6" s="121"/>
      <c r="EC6" s="128"/>
      <c r="ED6" s="128"/>
      <c r="EE6" s="128"/>
      <c r="EF6" s="13"/>
      <c r="EG6" s="13"/>
      <c r="EI6" s="152"/>
    </row>
    <row r="7" spans="1:139" x14ac:dyDescent="0.2">
      <c r="A7" s="7">
        <v>4</v>
      </c>
      <c r="B7" s="119" t="s">
        <v>310</v>
      </c>
      <c r="C7" s="9" t="s">
        <v>5</v>
      </c>
      <c r="D7" s="9" t="s">
        <v>48</v>
      </c>
      <c r="E7" s="10">
        <v>53.048121598438328</v>
      </c>
      <c r="F7" s="10">
        <v>53.048121598438328</v>
      </c>
      <c r="G7" s="9">
        <f t="shared" si="0"/>
        <v>7</v>
      </c>
      <c r="H7" s="93">
        <v>53.048121598438328</v>
      </c>
      <c r="I7" s="46"/>
      <c r="J7" s="11"/>
      <c r="K7" s="11"/>
      <c r="L7" s="11"/>
      <c r="M7" s="11"/>
      <c r="N7" s="11"/>
      <c r="O7" s="11"/>
      <c r="P7" s="11"/>
      <c r="Q7" s="11"/>
      <c r="R7" s="11"/>
      <c r="S7" s="11"/>
      <c r="T7" s="96"/>
      <c r="U7" s="297"/>
      <c r="V7" s="298"/>
      <c r="W7" s="11"/>
      <c r="X7" s="96"/>
      <c r="Y7" s="96"/>
      <c r="Z7" s="96"/>
      <c r="AA7" s="96"/>
      <c r="AB7" s="96"/>
      <c r="AC7" s="96"/>
      <c r="AD7" s="96"/>
      <c r="AE7" s="96"/>
      <c r="AF7" s="110"/>
      <c r="AG7" s="11"/>
      <c r="AH7" s="11"/>
      <c r="AI7" s="11"/>
      <c r="AJ7" s="11"/>
      <c r="AK7" s="11"/>
      <c r="AL7" s="11"/>
      <c r="AM7" s="11"/>
      <c r="AN7" s="250"/>
      <c r="AO7" s="25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96"/>
      <c r="BA7" s="11"/>
      <c r="BB7" s="11"/>
      <c r="BC7" s="96"/>
      <c r="BD7" s="11"/>
      <c r="BE7" s="96"/>
      <c r="BF7" s="11"/>
      <c r="BG7" s="11"/>
      <c r="BH7" s="11"/>
      <c r="BI7" s="11"/>
      <c r="BJ7" s="11"/>
      <c r="BK7" s="11"/>
      <c r="BL7" s="11"/>
      <c r="BM7" s="11"/>
      <c r="BN7" s="96"/>
      <c r="BO7" s="11"/>
      <c r="BP7" s="11">
        <f>(INDEX('Race 60'!$E$8:$E$200,(MATCH($B7,'Race 60'!$B$8:$B$200,0)),1))*100</f>
        <v>53.348228323083234</v>
      </c>
      <c r="BQ7" s="11"/>
      <c r="BR7" s="11">
        <f>(INDEX('Race 62'!$E$8:$E$200,(MATCH($B7,'Race 62'!$B$8:$B$200,0)),1))*100</f>
        <v>51.373583802028001</v>
      </c>
      <c r="BS7" s="11">
        <f>(INDEX('Race 63'!$E$8:$E$200,(MATCH($B7,'Race 63'!$B$8:$B$200,0)),1))*100</f>
        <v>53.514559219535172</v>
      </c>
      <c r="BT7" s="11">
        <f>(INDEX('Race 64'!$E$8:$E$200,(MATCH($B7,'Race 64'!$B$8:$B$200,0)),1))*100</f>
        <v>52.644297871532608</v>
      </c>
      <c r="BU7" s="11">
        <f>(INDEX('Race 65'!$E$8:$E$200,(MATCH($B7,'Race 65'!$B$8:$B$200,0)),1))*100</f>
        <v>52.973927709863169</v>
      </c>
      <c r="BV7" s="11">
        <f>(INDEX('Race 66'!$E$8:$E$200,(MATCH($B7,'Race 66'!$B$8:$B$200,0)),1))*100</f>
        <v>52.789826612631771</v>
      </c>
      <c r="BW7" s="11">
        <f>(INDEX('Race 67'!$E$8:$E$200,(MATCH($B7,'Race 67'!$B$8:$B$200,0)),1))*100</f>
        <v>68.576924742572771</v>
      </c>
      <c r="BX7" s="11"/>
      <c r="BY7" s="11"/>
      <c r="BZ7" s="11"/>
      <c r="CA7" s="11"/>
      <c r="CB7" s="11"/>
      <c r="CC7" s="11"/>
      <c r="CD7" s="11"/>
      <c r="CE7" s="11"/>
      <c r="CF7" s="11"/>
      <c r="CG7" s="96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96"/>
      <c r="CY7" s="96"/>
      <c r="CZ7" s="11"/>
      <c r="DA7" s="26">
        <f t="shared" si="1"/>
        <v>55.031621183035249</v>
      </c>
      <c r="DB7" s="53" t="str">
        <f t="shared" si="2"/>
        <v>Anderson, Rebecca</v>
      </c>
      <c r="DC7" s="68">
        <f t="shared" si="3"/>
        <v>1</v>
      </c>
      <c r="DD7" s="62">
        <v>53.048121598438328</v>
      </c>
      <c r="DE7" s="209">
        <f t="shared" si="4"/>
        <v>55.262546252861569</v>
      </c>
      <c r="DF7" s="115">
        <f t="shared" si="5"/>
        <v>0</v>
      </c>
      <c r="DG7" s="4">
        <f t="shared" si="6"/>
        <v>0</v>
      </c>
      <c r="DH7" s="115">
        <f t="shared" si="7"/>
        <v>7</v>
      </c>
      <c r="DI7" s="115" t="str">
        <f t="shared" si="8"/>
        <v>CA</v>
      </c>
      <c r="DJ7" s="62">
        <f>IF(COUNT(I7:U7)&lt;5,DA7,SUMPRODUCT(LARGE(I7:U7,{1,2,3,4,5}))/5)</f>
        <v>55.031621183035249</v>
      </c>
      <c r="DK7" s="62">
        <f>IF(COUNT(I7:AN7)&lt;5,DA7,SUMPRODUCT(LARGE(I7:AN7,{1,2,3,4,5}))/5)</f>
        <v>55.031621183035249</v>
      </c>
      <c r="DL7" s="209">
        <f>IF(COUNT(J7:CZ7)&lt;5,AVERAGE(J7:CZ7),SUMPRODUCT(LARGE(J7:CZ7,{1,2,3,4,5}))/5)</f>
        <v>56.240693321537222</v>
      </c>
      <c r="DM7" s="62">
        <f t="shared" si="10"/>
        <v>55.262546252861569</v>
      </c>
      <c r="DN7" s="13" t="str">
        <f t="shared" si="9"/>
        <v>Anderson, Rebecca</v>
      </c>
      <c r="DO7" s="7">
        <v>4</v>
      </c>
      <c r="DP7" s="16"/>
      <c r="DQ7" s="9"/>
      <c r="DR7" s="9"/>
      <c r="DS7" s="121"/>
      <c r="DT7" s="128"/>
      <c r="DU7" s="128"/>
      <c r="DV7" s="128"/>
      <c r="DW7" s="13"/>
      <c r="DX7" s="7"/>
      <c r="DY7" s="16"/>
      <c r="DZ7" s="9"/>
      <c r="EA7" s="9"/>
      <c r="EB7" s="139"/>
      <c r="EC7" s="15"/>
      <c r="ED7" s="128"/>
      <c r="EE7" s="128"/>
      <c r="EF7" s="13"/>
      <c r="EG7" s="13"/>
      <c r="EI7" s="152"/>
    </row>
    <row r="8" spans="1:139" x14ac:dyDescent="0.2">
      <c r="A8" s="7">
        <v>5</v>
      </c>
      <c r="B8" s="119" t="s">
        <v>268</v>
      </c>
      <c r="C8" s="9" t="s">
        <v>6</v>
      </c>
      <c r="D8" s="9" t="s">
        <v>32</v>
      </c>
      <c r="E8" s="10">
        <v>66.463509745813553</v>
      </c>
      <c r="F8" s="10">
        <v>66.463509745813553</v>
      </c>
      <c r="G8" s="9">
        <f t="shared" si="0"/>
        <v>2</v>
      </c>
      <c r="H8" s="93">
        <v>68.802017923220845</v>
      </c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f>(INDEX('Race 12'!$E$8:$E$200,(MATCH($B8,'Race 12'!$B$8:$B$200,0)),1))*100</f>
        <v>66.82972087942737</v>
      </c>
      <c r="U8" s="297">
        <f>(INDEX('Race 13'!$E$8:$E$200,(MATCH($B8,'Race 13'!$B$8:$B$200,0)),1))*100</f>
        <v>66.097298612199722</v>
      </c>
      <c r="V8" s="298"/>
      <c r="W8" s="11"/>
      <c r="X8" s="96"/>
      <c r="Y8" s="96"/>
      <c r="Z8" s="96"/>
      <c r="AA8" s="96"/>
      <c r="AB8" s="96"/>
      <c r="AC8" s="96"/>
      <c r="AD8" s="96"/>
      <c r="AE8" s="96"/>
      <c r="AF8" s="110"/>
      <c r="AG8" s="11"/>
      <c r="AH8" s="11"/>
      <c r="AI8" s="11"/>
      <c r="AJ8" s="11"/>
      <c r="AK8" s="11"/>
      <c r="AL8" s="11"/>
      <c r="AM8" s="11"/>
      <c r="AN8" s="250"/>
      <c r="AO8" s="25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96"/>
      <c r="BA8" s="11"/>
      <c r="BB8" s="11"/>
      <c r="BC8" s="96"/>
      <c r="BD8" s="11"/>
      <c r="BE8" s="96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96"/>
      <c r="BX8" s="11"/>
      <c r="BY8" s="11"/>
      <c r="BZ8" s="11"/>
      <c r="CA8" s="11"/>
      <c r="CB8" s="11"/>
      <c r="CC8" s="11"/>
      <c r="CD8" s="11"/>
      <c r="CE8" s="11"/>
      <c r="CF8" s="11"/>
      <c r="CG8" s="96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96"/>
      <c r="CY8" s="96"/>
      <c r="CZ8" s="11"/>
      <c r="DA8" s="26">
        <f t="shared" si="1"/>
        <v>66.463509745813553</v>
      </c>
      <c r="DB8" s="53" t="str">
        <f t="shared" si="2"/>
        <v>Armstrong, Nina</v>
      </c>
      <c r="DC8" s="68">
        <f t="shared" si="3"/>
        <v>1</v>
      </c>
      <c r="DD8" s="62">
        <v>68.802017923220845</v>
      </c>
      <c r="DE8" s="209">
        <f t="shared" si="4"/>
        <v>65.307565830611722</v>
      </c>
      <c r="DF8" s="115">
        <f t="shared" si="5"/>
        <v>2</v>
      </c>
      <c r="DG8" s="4">
        <f t="shared" si="6"/>
        <v>2</v>
      </c>
      <c r="DH8" s="115">
        <f t="shared" si="7"/>
        <v>2</v>
      </c>
      <c r="DI8" s="115" t="str">
        <f t="shared" si="8"/>
        <v>VT</v>
      </c>
      <c r="DJ8" s="62">
        <f>IF(COUNT(I8:U8)&lt;5,DA8,SUMPRODUCT(LARGE(I8:U8,{1,2,3,4,5}))/5)</f>
        <v>66.463509745813553</v>
      </c>
      <c r="DK8" s="62">
        <f>IF(COUNT(I8:AN8)&lt;5,DA8,SUMPRODUCT(LARGE(I8:AN8,{1,2,3,4,5}))/5)</f>
        <v>66.463509745813553</v>
      </c>
      <c r="DL8" s="209">
        <f>IF(COUNT(J8:CZ8)&lt;5,AVERAGE(J8:CZ8),SUMPRODUCT(LARGE(J8:CZ8,{1,2,3,4,5}))/5)</f>
        <v>66.463509745813553</v>
      </c>
      <c r="DM8" s="62">
        <f t="shared" si="10"/>
        <v>65.307565830611722</v>
      </c>
      <c r="DN8" s="13" t="str">
        <f t="shared" si="9"/>
        <v>Armstrong, Nina</v>
      </c>
      <c r="DO8" s="7">
        <v>5</v>
      </c>
      <c r="DP8" s="8"/>
      <c r="DQ8" s="9"/>
      <c r="DR8" s="9"/>
      <c r="DS8" s="121"/>
      <c r="DT8" s="128"/>
      <c r="DU8" s="128"/>
      <c r="DV8" s="128"/>
      <c r="DW8" s="13"/>
      <c r="DX8" s="7"/>
      <c r="DY8" s="16"/>
      <c r="DZ8" s="9"/>
      <c r="EA8" s="9"/>
      <c r="EB8" s="121"/>
      <c r="EC8" s="128"/>
      <c r="ED8" s="128"/>
      <c r="EE8" s="128"/>
      <c r="EF8" s="13"/>
      <c r="EG8" s="13"/>
      <c r="EI8" s="152"/>
    </row>
    <row r="9" spans="1:139" x14ac:dyDescent="0.2">
      <c r="A9" s="7">
        <v>6</v>
      </c>
      <c r="B9" s="119" t="s">
        <v>64</v>
      </c>
      <c r="C9" s="9" t="s">
        <v>5</v>
      </c>
      <c r="D9" s="9" t="s">
        <v>36</v>
      </c>
      <c r="E9" s="10">
        <v>44.122608681632663</v>
      </c>
      <c r="F9" s="10">
        <v>46.917507946651071</v>
      </c>
      <c r="G9" s="9">
        <f t="shared" si="0"/>
        <v>8</v>
      </c>
      <c r="H9" s="93">
        <v>44.122608681632663</v>
      </c>
      <c r="I9" s="47"/>
      <c r="J9" s="11"/>
      <c r="K9" s="11"/>
      <c r="L9" s="11"/>
      <c r="M9" s="11"/>
      <c r="N9" s="11"/>
      <c r="O9" s="11"/>
      <c r="P9" s="11"/>
      <c r="Q9" s="11"/>
      <c r="R9" s="11"/>
      <c r="S9" s="11"/>
      <c r="T9" s="96"/>
      <c r="U9" s="297"/>
      <c r="V9" s="298"/>
      <c r="W9" s="11"/>
      <c r="X9" s="96"/>
      <c r="Y9" s="96"/>
      <c r="Z9" s="96"/>
      <c r="AA9" s="96"/>
      <c r="AB9" s="96"/>
      <c r="AC9" s="96"/>
      <c r="AD9" s="96"/>
      <c r="AE9" s="96"/>
      <c r="AF9" s="110"/>
      <c r="AG9" s="11">
        <f>(INDEX('Race 25'!$E$8:$E$200,(MATCH($B9,'Race 25'!$B$8:$B$200,0)),1))*100</f>
        <v>49.775524435842833</v>
      </c>
      <c r="AH9" s="11">
        <f>(INDEX('Race 26'!$E$8:$E$200,(MATCH($B9,'Race 26'!$B$8:$B$200,0)),1))*100</f>
        <v>44.059491457459309</v>
      </c>
      <c r="AI9" s="11"/>
      <c r="AJ9" s="11"/>
      <c r="AK9" s="11"/>
      <c r="AL9" s="11"/>
      <c r="AM9" s="11"/>
      <c r="AN9" s="250"/>
      <c r="AO9" s="25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96"/>
      <c r="BA9" s="11"/>
      <c r="BB9" s="11"/>
      <c r="BC9" s="96"/>
      <c r="BD9" s="96"/>
      <c r="BE9" s="11">
        <f>(INDEX('Race 49'!$E$8:$E$200,(MATCH($B9,'Race 49'!$B$8:$B$200,0)),1))*100</f>
        <v>51.097190301387897</v>
      </c>
      <c r="BF9" s="11"/>
      <c r="BG9" s="11"/>
      <c r="BH9" s="11"/>
      <c r="BI9" s="11"/>
      <c r="BJ9" s="11"/>
      <c r="BK9" s="11"/>
      <c r="BL9" s="11">
        <f>(INDEX('Race 56'!$E$8:$E$200,(MATCH($B9,'Race 56'!$B$8:$B$200,0)),1))*100</f>
        <v>42.337855369567421</v>
      </c>
      <c r="BM9" s="11">
        <f>(INDEX('Race 57'!$E$8:$E$200,(MATCH($B9,'Race 57'!$B$8:$B$200,0)),1))*100</f>
        <v>46.846744608472022</v>
      </c>
      <c r="BN9" s="11"/>
      <c r="BO9" s="11"/>
      <c r="BP9" s="11">
        <f>(INDEX('Race 60'!$E$8:$E$200,(MATCH($B9,'Race 60'!$B$8:$B$200,0)),1))*100</f>
        <v>57.008792921180074</v>
      </c>
      <c r="BQ9" s="11"/>
      <c r="BR9" s="96">
        <f>(INDEX('Race 62'!$E$8:$E$200,(MATCH($B9,'Race 62'!$B$8:$B$200,0)),1))*100</f>
        <v>47.964017776079075</v>
      </c>
      <c r="BS9" s="11"/>
      <c r="BT9" s="11"/>
      <c r="BU9" s="11"/>
      <c r="BV9" s="11"/>
      <c r="BW9" s="96">
        <f>(INDEX('Race 67'!$E$8:$E$200,(MATCH($B9,'Race 67'!$B$8:$B$200,0)),1))*100</f>
        <v>68.878894456668519</v>
      </c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96"/>
      <c r="CY9" s="96"/>
      <c r="CZ9" s="11"/>
      <c r="DA9" s="26">
        <f t="shared" si="1"/>
        <v>50.996063915832138</v>
      </c>
      <c r="DB9" s="42" t="str">
        <f t="shared" si="2"/>
        <v>Arnold, Sabine</v>
      </c>
      <c r="DC9" s="43">
        <f t="shared" si="3"/>
        <v>1</v>
      </c>
      <c r="DD9" s="62">
        <v>44.122608681632663</v>
      </c>
      <c r="DE9" s="62">
        <f t="shared" si="4"/>
        <v>53.98927383141563</v>
      </c>
      <c r="DF9" s="4">
        <f t="shared" si="5"/>
        <v>0</v>
      </c>
      <c r="DG9" s="4">
        <f t="shared" si="6"/>
        <v>2</v>
      </c>
      <c r="DH9" s="4">
        <f t="shared" si="7"/>
        <v>8</v>
      </c>
      <c r="DI9" s="4" t="str">
        <f t="shared" si="8"/>
        <v>WA</v>
      </c>
      <c r="DJ9" s="62">
        <f>IF(COUNT(I9:U9)&lt;5,DA9,SUMPRODUCT(LARGE(I9:U9,{1,2,3,4,5}))/5)</f>
        <v>50.996063915832138</v>
      </c>
      <c r="DK9" s="62">
        <f>IF(COUNT(I9:AN9)&lt;5,DA9,SUMPRODUCT(LARGE(I9:AN9,{1,2,3,4,5}))/5)</f>
        <v>50.996063915832138</v>
      </c>
      <c r="DL9" s="62">
        <f>IF(COUNT(J9:CZ9)&lt;5,AVERAGE(J9:CZ9),SUMPRODUCT(LARGE(J9:CZ9,{1,2,3,4,5}))/5)</f>
        <v>54.94488397823168</v>
      </c>
      <c r="DM9" s="62">
        <f t="shared" si="10"/>
        <v>53.98927383141563</v>
      </c>
      <c r="DN9" s="13" t="str">
        <f t="shared" si="9"/>
        <v>Arnold, Sabine</v>
      </c>
      <c r="DO9" s="7">
        <v>6</v>
      </c>
      <c r="DP9" s="8"/>
      <c r="DQ9" s="9"/>
      <c r="DR9" s="9"/>
      <c r="DS9" s="121"/>
      <c r="DT9" s="128"/>
      <c r="DU9" s="128"/>
      <c r="DV9" s="128"/>
      <c r="DW9" s="13"/>
      <c r="DX9" s="7"/>
      <c r="DY9" s="8"/>
      <c r="DZ9" s="9"/>
      <c r="EA9" s="9"/>
      <c r="EB9" s="121"/>
      <c r="EC9" s="128"/>
      <c r="ED9" s="128"/>
      <c r="EE9" s="128"/>
      <c r="EF9" s="13"/>
      <c r="EG9" s="13"/>
      <c r="EI9" s="152"/>
    </row>
    <row r="10" spans="1:139" x14ac:dyDescent="0.2">
      <c r="A10" s="7">
        <v>7</v>
      </c>
      <c r="B10" s="119" t="s">
        <v>410</v>
      </c>
      <c r="C10" s="9" t="s">
        <v>5</v>
      </c>
      <c r="D10" s="9" t="s">
        <v>41</v>
      </c>
      <c r="E10" s="10">
        <v>0</v>
      </c>
      <c r="F10" s="10">
        <v>31.365039718524486</v>
      </c>
      <c r="G10" s="9">
        <f t="shared" si="0"/>
        <v>2</v>
      </c>
      <c r="H10" s="93">
        <v>0</v>
      </c>
      <c r="I10" s="47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96"/>
      <c r="U10" s="297"/>
      <c r="V10" s="300"/>
      <c r="W10" s="11"/>
      <c r="X10" s="96"/>
      <c r="Y10" s="96"/>
      <c r="Z10" s="96"/>
      <c r="AA10" s="96"/>
      <c r="AB10" s="96"/>
      <c r="AC10" s="96"/>
      <c r="AD10" s="96"/>
      <c r="AE10" s="96"/>
      <c r="AF10" s="110"/>
      <c r="AG10" s="11"/>
      <c r="AH10" s="11"/>
      <c r="AI10" s="11"/>
      <c r="AJ10" s="11"/>
      <c r="AK10" s="11"/>
      <c r="AL10" s="11"/>
      <c r="AM10" s="11">
        <f>(INDEX('Race 31'!$E$8:$E$200,(MATCH($B10,'Race 31'!$B$8:$B$200,0)),1))*100</f>
        <v>29.962949095774771</v>
      </c>
      <c r="AN10" s="250">
        <f>(INDEX('Race 32'!$E$8:$E$200,(MATCH($B10,'Race 32'!$B$8:$B$200,0)),1))*100</f>
        <v>32.767130341274196</v>
      </c>
      <c r="AO10" s="251"/>
      <c r="AP10" s="96"/>
      <c r="AQ10" s="11"/>
      <c r="AR10" s="96"/>
      <c r="AS10" s="11"/>
      <c r="AT10" s="96"/>
      <c r="AU10" s="11"/>
      <c r="AV10" s="11"/>
      <c r="AW10" s="11"/>
      <c r="AX10" s="96"/>
      <c r="AY10" s="96"/>
      <c r="AZ10" s="96"/>
      <c r="BA10" s="11"/>
      <c r="BB10" s="11"/>
      <c r="BC10" s="96"/>
      <c r="BD10" s="11"/>
      <c r="BE10" s="96"/>
      <c r="BF10" s="11"/>
      <c r="BG10" s="11"/>
      <c r="BH10" s="11"/>
      <c r="BI10" s="11"/>
      <c r="BJ10" s="11"/>
      <c r="BK10" s="11"/>
      <c r="BL10" s="11"/>
      <c r="BM10" s="11"/>
      <c r="BN10" s="96"/>
      <c r="BO10" s="11"/>
      <c r="BP10" s="11"/>
      <c r="BQ10" s="11"/>
      <c r="BR10" s="11"/>
      <c r="BS10" s="11"/>
      <c r="BT10" s="11"/>
      <c r="BU10" s="11"/>
      <c r="BV10" s="11"/>
      <c r="BW10" s="96"/>
      <c r="BX10" s="11"/>
      <c r="BY10" s="11"/>
      <c r="BZ10" s="11"/>
      <c r="CA10" s="11"/>
      <c r="CB10" s="11"/>
      <c r="CC10" s="11"/>
      <c r="CD10" s="11"/>
      <c r="CE10" s="11"/>
      <c r="CF10" s="11"/>
      <c r="CG10" s="96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96"/>
      <c r="CY10" s="96"/>
      <c r="CZ10" s="11"/>
      <c r="DA10" s="26">
        <f t="shared" si="1"/>
        <v>31.365039718524486</v>
      </c>
      <c r="DB10" s="53" t="str">
        <f t="shared" si="2"/>
        <v>Atkinson, Delyssia</v>
      </c>
      <c r="DC10" s="68">
        <f t="shared" si="3"/>
        <v>1</v>
      </c>
      <c r="DD10" s="62">
        <v>66.367715995604314</v>
      </c>
      <c r="DE10" s="209">
        <f t="shared" si="4"/>
        <v>30.819533967303219</v>
      </c>
      <c r="DF10" s="115">
        <f t="shared" si="5"/>
        <v>0</v>
      </c>
      <c r="DG10" s="4">
        <f t="shared" si="6"/>
        <v>2</v>
      </c>
      <c r="DH10" s="115">
        <f t="shared" si="7"/>
        <v>2</v>
      </c>
      <c r="DI10" s="115" t="str">
        <f t="shared" si="8"/>
        <v>MT</v>
      </c>
      <c r="DJ10" s="62">
        <f>IF(COUNT(I10:U10)&lt;5,DA10,SUMPRODUCT(LARGE(I10:U10,{1,2,3,4,5}))/5)</f>
        <v>31.365039718524486</v>
      </c>
      <c r="DK10" s="62">
        <f>IF(COUNT(I10:AN10)&lt;5,DA10,SUMPRODUCT(LARGE(I10:AN10,{1,2,3,4,5}))/5)</f>
        <v>31.365039718524486</v>
      </c>
      <c r="DL10" s="209">
        <f>IF(COUNT(J10:CZ10)&lt;5,AVERAGE(J10:CZ10),SUMPRODUCT(LARGE(J10:CZ10,{1,2,3,4,5}))/5)</f>
        <v>31.365039718524486</v>
      </c>
      <c r="DM10" s="62">
        <f t="shared" si="10"/>
        <v>30.819533967303219</v>
      </c>
      <c r="DN10" s="13" t="str">
        <f t="shared" si="9"/>
        <v>Atkinson, Delyssia</v>
      </c>
      <c r="DO10" s="7">
        <v>7</v>
      </c>
      <c r="DP10" s="8"/>
      <c r="DQ10" s="9"/>
      <c r="DR10" s="9"/>
      <c r="DS10" s="121"/>
      <c r="DT10" s="128"/>
      <c r="DU10" s="128"/>
      <c r="DV10" s="128"/>
      <c r="DW10" s="13"/>
      <c r="DX10" s="7"/>
      <c r="DY10" s="8"/>
      <c r="DZ10" s="9"/>
      <c r="EA10" s="9"/>
      <c r="EB10" s="121"/>
      <c r="EC10" s="128"/>
      <c r="ED10" s="128"/>
      <c r="EE10" s="128"/>
      <c r="EF10" s="13"/>
      <c r="EG10" s="13"/>
      <c r="EI10" s="152"/>
    </row>
    <row r="11" spans="1:139" x14ac:dyDescent="0.2">
      <c r="A11" s="7">
        <v>8</v>
      </c>
      <c r="B11" s="119" t="s">
        <v>421</v>
      </c>
      <c r="C11" s="9" t="s">
        <v>5</v>
      </c>
      <c r="D11" s="9" t="s">
        <v>48</v>
      </c>
      <c r="E11" s="10">
        <v>0</v>
      </c>
      <c r="F11" s="10">
        <v>30.96145120593183</v>
      </c>
      <c r="G11" s="9">
        <f t="shared" si="0"/>
        <v>3</v>
      </c>
      <c r="H11" s="93">
        <v>0</v>
      </c>
      <c r="I11" s="46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96"/>
      <c r="U11" s="297"/>
      <c r="V11" s="298"/>
      <c r="W11" s="11"/>
      <c r="X11" s="96"/>
      <c r="Y11" s="96"/>
      <c r="Z11" s="96"/>
      <c r="AA11" s="96"/>
      <c r="AB11" s="96"/>
      <c r="AC11" s="96"/>
      <c r="AD11" s="96"/>
      <c r="AE11" s="96"/>
      <c r="AF11" s="110"/>
      <c r="AG11" s="11"/>
      <c r="AH11" s="11"/>
      <c r="AI11" s="11"/>
      <c r="AJ11" s="11"/>
      <c r="AK11" s="11"/>
      <c r="AL11" s="11"/>
      <c r="AM11" s="11">
        <f>(INDEX('Race 31'!$E$8:$E$200,(MATCH($B11,'Race 31'!$B$8:$B$200,0)),1))*100</f>
        <v>29.457119766451868</v>
      </c>
      <c r="AN11" s="250">
        <f>(INDEX('Race 32'!$E$8:$E$200,(MATCH($B11,'Race 32'!$B$8:$B$200,0)),1))*100</f>
        <v>32.465782645411792</v>
      </c>
      <c r="AO11" s="25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96"/>
      <c r="BA11" s="11"/>
      <c r="BB11" s="96"/>
      <c r="BC11" s="96"/>
      <c r="BD11" s="11"/>
      <c r="BE11" s="96"/>
      <c r="BF11" s="11"/>
      <c r="BG11" s="11"/>
      <c r="BH11" s="11">
        <f>(INDEX('Race 52'!$E$8:$E$200,(MATCH($B11,'Race 52'!$B$8:$B$200,0)),1))*100</f>
        <v>26.011856298071301</v>
      </c>
      <c r="BI11" s="11"/>
      <c r="BJ11" s="11"/>
      <c r="BK11" s="11"/>
      <c r="BL11" s="11"/>
      <c r="BM11" s="11"/>
      <c r="BN11" s="96"/>
      <c r="BO11" s="11"/>
      <c r="BP11" s="11"/>
      <c r="BQ11" s="11"/>
      <c r="BR11" s="11"/>
      <c r="BS11" s="11"/>
      <c r="BT11" s="11"/>
      <c r="BU11" s="11"/>
      <c r="BV11" s="11"/>
      <c r="BW11" s="96"/>
      <c r="BX11" s="11"/>
      <c r="BY11" s="11"/>
      <c r="BZ11" s="11"/>
      <c r="CA11" s="11"/>
      <c r="CB11" s="11"/>
      <c r="CC11" s="11"/>
      <c r="CD11" s="11"/>
      <c r="CE11" s="11"/>
      <c r="CF11" s="11"/>
      <c r="CG11" s="96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96"/>
      <c r="CY11" s="96"/>
      <c r="CZ11" s="11"/>
      <c r="DA11" s="26">
        <f t="shared" si="1"/>
        <v>29.311586236644985</v>
      </c>
      <c r="DB11" s="53" t="str">
        <f t="shared" si="2"/>
        <v>Bassim, Alisha</v>
      </c>
      <c r="DC11" s="68">
        <f t="shared" si="3"/>
        <v>1</v>
      </c>
      <c r="DD11" s="62">
        <v>66.367715995604314</v>
      </c>
      <c r="DE11" s="209">
        <f t="shared" si="4"/>
        <v>28.80179447444727</v>
      </c>
      <c r="DF11" s="115">
        <f t="shared" si="5"/>
        <v>0</v>
      </c>
      <c r="DG11" s="4">
        <f t="shared" si="6"/>
        <v>2</v>
      </c>
      <c r="DH11" s="115">
        <f t="shared" si="7"/>
        <v>3</v>
      </c>
      <c r="DI11" s="115" t="str">
        <f t="shared" si="8"/>
        <v>CA</v>
      </c>
      <c r="DJ11" s="62">
        <f>IF(COUNT(I11:U11)&lt;5,DA11,SUMPRODUCT(LARGE(I11:U11,{1,2,3,4,5}))/5)</f>
        <v>29.311586236644985</v>
      </c>
      <c r="DK11" s="62">
        <f>IF(COUNT(I11:AN11)&lt;5,DA11,SUMPRODUCT(LARGE(I11:AN11,{1,2,3,4,5}))/5)</f>
        <v>29.311586236644985</v>
      </c>
      <c r="DL11" s="209">
        <f>IF(COUNT(J11:CZ11)&lt;5,AVERAGE(J11:CZ11),SUMPRODUCT(LARGE(J11:CZ11,{1,2,3,4,5}))/5)</f>
        <v>29.311586236644985</v>
      </c>
      <c r="DM11" s="62">
        <f t="shared" si="10"/>
        <v>28.80179447444727</v>
      </c>
      <c r="DN11" s="13" t="str">
        <f t="shared" si="9"/>
        <v>Bassim, Alisha</v>
      </c>
      <c r="DO11" s="7">
        <v>8</v>
      </c>
      <c r="DP11" s="16"/>
      <c r="DQ11" s="9"/>
      <c r="DR11" s="9"/>
      <c r="DS11" s="121"/>
      <c r="DT11" s="128"/>
      <c r="DU11" s="128"/>
      <c r="DV11" s="128"/>
      <c r="DW11" s="13"/>
      <c r="DX11" s="7"/>
      <c r="DY11" s="16"/>
      <c r="DZ11" s="9"/>
      <c r="EA11" s="9"/>
      <c r="EB11" s="121"/>
      <c r="EC11" s="128"/>
      <c r="ED11" s="128"/>
      <c r="EE11" s="128"/>
      <c r="EF11" s="13"/>
      <c r="EG11" s="13"/>
      <c r="EI11" s="152"/>
    </row>
    <row r="12" spans="1:139" x14ac:dyDescent="0.2">
      <c r="A12" s="7">
        <v>9</v>
      </c>
      <c r="B12" s="119" t="s">
        <v>301</v>
      </c>
      <c r="C12" s="9" t="s">
        <v>5</v>
      </c>
      <c r="D12" s="9" t="s">
        <v>32</v>
      </c>
      <c r="E12" s="10">
        <v>51.589615334121</v>
      </c>
      <c r="F12" s="10">
        <v>51.589615334121</v>
      </c>
      <c r="G12" s="9">
        <f t="shared" si="0"/>
        <v>0</v>
      </c>
      <c r="H12" s="93">
        <v>51.589615334121</v>
      </c>
      <c r="I12" s="46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96"/>
      <c r="U12" s="297"/>
      <c r="V12" s="298"/>
      <c r="W12" s="11"/>
      <c r="X12" s="96"/>
      <c r="Y12" s="96"/>
      <c r="Z12" s="96"/>
      <c r="AA12" s="96"/>
      <c r="AB12" s="96"/>
      <c r="AC12" s="96"/>
      <c r="AD12" s="96"/>
      <c r="AE12" s="96"/>
      <c r="AF12" s="110"/>
      <c r="AG12" s="11"/>
      <c r="AH12" s="11"/>
      <c r="AI12" s="11"/>
      <c r="AJ12" s="11"/>
      <c r="AK12" s="11"/>
      <c r="AL12" s="11"/>
      <c r="AM12" s="11"/>
      <c r="AN12" s="250"/>
      <c r="AO12" s="251"/>
      <c r="AP12" s="11"/>
      <c r="AQ12" s="11"/>
      <c r="AR12" s="11"/>
      <c r="AS12" s="11"/>
      <c r="AT12" s="96"/>
      <c r="AU12" s="11"/>
      <c r="AV12" s="11"/>
      <c r="AW12" s="11"/>
      <c r="AX12" s="11"/>
      <c r="AY12" s="11"/>
      <c r="AZ12" s="96"/>
      <c r="BA12" s="11"/>
      <c r="BB12" s="11"/>
      <c r="BC12" s="96"/>
      <c r="BD12" s="11"/>
      <c r="BE12" s="96"/>
      <c r="BF12" s="11"/>
      <c r="BG12" s="11"/>
      <c r="BH12" s="11"/>
      <c r="BI12" s="11"/>
      <c r="BJ12" s="11"/>
      <c r="BK12" s="11"/>
      <c r="BL12" s="11"/>
      <c r="BM12" s="11"/>
      <c r="BN12" s="96"/>
      <c r="BO12" s="11"/>
      <c r="BP12" s="11"/>
      <c r="BQ12" s="11"/>
      <c r="BR12" s="11"/>
      <c r="BS12" s="11"/>
      <c r="BT12" s="11"/>
      <c r="BU12" s="11"/>
      <c r="BV12" s="11"/>
      <c r="BW12" s="96"/>
      <c r="BX12" s="11"/>
      <c r="BY12" s="11"/>
      <c r="BZ12" s="11"/>
      <c r="CA12" s="11"/>
      <c r="CB12" s="11"/>
      <c r="CC12" s="11"/>
      <c r="CD12" s="11"/>
      <c r="CE12" s="11"/>
      <c r="CF12" s="11"/>
      <c r="CG12" s="96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96"/>
      <c r="CY12" s="96"/>
      <c r="CZ12" s="11"/>
      <c r="DA12" s="26">
        <f t="shared" si="1"/>
        <v>51.589615334121</v>
      </c>
      <c r="DB12" s="53" t="str">
        <f t="shared" si="2"/>
        <v xml:space="preserve">Bean, Danielle </v>
      </c>
      <c r="DC12" s="68">
        <f t="shared" si="3"/>
        <v>0</v>
      </c>
      <c r="DD12" s="62">
        <v>51.589615334121</v>
      </c>
      <c r="DE12" s="209">
        <f t="shared" si="4"/>
        <v>0</v>
      </c>
      <c r="DF12" s="115">
        <f t="shared" si="5"/>
        <v>0</v>
      </c>
      <c r="DG12" s="4">
        <f t="shared" si="6"/>
        <v>0</v>
      </c>
      <c r="DH12" s="115">
        <f t="shared" si="7"/>
        <v>0</v>
      </c>
      <c r="DI12" s="115" t="str">
        <f t="shared" si="8"/>
        <v>VT</v>
      </c>
      <c r="DJ12" s="62">
        <f>IF(COUNT(I12:U12)&lt;5,DA12,SUMPRODUCT(LARGE(I12:U12,{1,2,3,4,5}))/5)</f>
        <v>51.589615334121</v>
      </c>
      <c r="DK12" s="62">
        <f>IF(COUNT(I12:AN12)&lt;5,DA12,SUMPRODUCT(LARGE(I12:AN12,{1,2,3,4,5}))/5)</f>
        <v>51.589615334121</v>
      </c>
      <c r="DL12" s="209">
        <f>IF(COUNT(J12:CZ12)=0,0,SUMPRODUCT(LARGE(J12:CZ12,{1,2,3,4,5}))/5)</f>
        <v>0</v>
      </c>
      <c r="DM12" s="62">
        <f t="shared" si="10"/>
        <v>0</v>
      </c>
      <c r="DN12" s="13" t="str">
        <f t="shared" si="9"/>
        <v xml:space="preserve">Bean, Danielle </v>
      </c>
      <c r="DO12" s="7">
        <v>9</v>
      </c>
      <c r="DP12" s="136"/>
      <c r="DQ12" s="9"/>
      <c r="DR12" s="9"/>
      <c r="DS12" s="139"/>
      <c r="DT12" s="15"/>
      <c r="DU12" s="128"/>
      <c r="DV12" s="128"/>
      <c r="DW12" s="13"/>
      <c r="DX12" s="7"/>
      <c r="DY12" s="16"/>
      <c r="DZ12" s="9"/>
      <c r="EA12" s="9"/>
      <c r="EB12" s="121"/>
      <c r="EC12" s="128"/>
      <c r="ED12" s="128"/>
      <c r="EE12" s="128"/>
      <c r="EF12" s="13"/>
      <c r="EG12" s="13"/>
      <c r="EI12" s="152"/>
    </row>
    <row r="13" spans="1:139" x14ac:dyDescent="0.2">
      <c r="A13" s="7">
        <v>10</v>
      </c>
      <c r="B13" s="119" t="s">
        <v>253</v>
      </c>
      <c r="C13" s="9" t="s">
        <v>6</v>
      </c>
      <c r="D13" s="9" t="s">
        <v>30</v>
      </c>
      <c r="E13" s="10">
        <v>68.776933489945691</v>
      </c>
      <c r="F13" s="10">
        <v>68.776933489945691</v>
      </c>
      <c r="G13" s="9">
        <f t="shared" si="0"/>
        <v>5</v>
      </c>
      <c r="H13" s="93">
        <v>63.938704673516384</v>
      </c>
      <c r="I13" s="47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>
        <f>(INDEX('Race 12'!$E$8:$E$200,(MATCH($B13,'Race 12'!$B$8:$B$200,0)),1))*100</f>
        <v>66.443421914806393</v>
      </c>
      <c r="U13" s="297">
        <f>(INDEX('Race 13'!$E$8:$E$200,(MATCH($B13,'Race 13'!$B$8:$B$200,0)),1))*100</f>
        <v>71.110445065085003</v>
      </c>
      <c r="V13" s="298"/>
      <c r="W13" s="11"/>
      <c r="X13" s="96"/>
      <c r="Y13" s="96"/>
      <c r="Z13" s="11"/>
      <c r="AA13" s="96"/>
      <c r="AB13" s="96"/>
      <c r="AC13" s="96"/>
      <c r="AD13" s="96"/>
      <c r="AE13" s="96"/>
      <c r="AF13" s="110"/>
      <c r="AG13" s="11"/>
      <c r="AH13" s="11"/>
      <c r="AI13" s="11"/>
      <c r="AJ13" s="11"/>
      <c r="AK13" s="11"/>
      <c r="AL13" s="11"/>
      <c r="AM13" s="11"/>
      <c r="AN13" s="250"/>
      <c r="AO13" s="25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96"/>
      <c r="BA13" s="11"/>
      <c r="BB13" s="11"/>
      <c r="BC13" s="96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96"/>
      <c r="BO13" s="11"/>
      <c r="BP13" s="11">
        <f>(INDEX('Race 60'!$E$8:$E$200,(MATCH($B13,'Race 60'!$B$8:$B$200,0)),1))*100</f>
        <v>67.619502210712582</v>
      </c>
      <c r="BQ13" s="11"/>
      <c r="BR13" s="11">
        <f>(INDEX('Race 62'!$E$8:$E$200,(MATCH($B13,'Race 62'!$B$8:$B$200,0)),1))*100</f>
        <v>67.79444501499205</v>
      </c>
      <c r="BS13" s="11"/>
      <c r="BT13" s="11"/>
      <c r="BU13" s="11"/>
      <c r="BV13" s="11"/>
      <c r="BW13" s="96"/>
      <c r="BX13" s="96">
        <f>(INDEX('Race 68'!$E$8:$E$200,(MATCH($B13,'Race 68'!$B$8:$B$200,0)),1))*100</f>
        <v>64.073478722596079</v>
      </c>
      <c r="BY13" s="11"/>
      <c r="BZ13" s="11"/>
      <c r="CA13" s="11"/>
      <c r="CB13" s="11"/>
      <c r="CC13" s="11"/>
      <c r="CD13" s="11"/>
      <c r="CE13" s="11"/>
      <c r="CF13" s="11"/>
      <c r="CG13" s="96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96"/>
      <c r="CY13" s="96"/>
      <c r="CZ13" s="11"/>
      <c r="DA13" s="26">
        <f t="shared" si="1"/>
        <v>67.408258585638421</v>
      </c>
      <c r="DB13" s="53" t="str">
        <f t="shared" si="2"/>
        <v>Beaulieu, Sarah</v>
      </c>
      <c r="DC13" s="68">
        <f t="shared" si="3"/>
        <v>1</v>
      </c>
      <c r="DD13" s="62">
        <v>63.938704673516384</v>
      </c>
      <c r="DE13" s="209">
        <f t="shared" si="4"/>
        <v>66.23588344859823</v>
      </c>
      <c r="DF13" s="115">
        <f t="shared" si="5"/>
        <v>2</v>
      </c>
      <c r="DG13" s="4">
        <f t="shared" si="6"/>
        <v>2</v>
      </c>
      <c r="DH13" s="115">
        <f t="shared" si="7"/>
        <v>5</v>
      </c>
      <c r="DI13" s="115" t="str">
        <f t="shared" si="8"/>
        <v>AK</v>
      </c>
      <c r="DJ13" s="62">
        <f>IF(COUNT(I13:U13)&lt;5,DA13,SUMPRODUCT(LARGE(I13:U13,{1,2,3,4,5}))/5)</f>
        <v>67.408258585638421</v>
      </c>
      <c r="DK13" s="62">
        <f>IF(COUNT(I13:AN13)&lt;5,DA13,SUMPRODUCT(LARGE(I13:AN13,{1,2,3,4,5}))/5)</f>
        <v>67.408258585638421</v>
      </c>
      <c r="DL13" s="62">
        <f>IF(COUNT(J13:CZ13)&lt;5,AVERAGE(J13:CZ13),SUMPRODUCT(LARGE(J13:CZ13,{1,2,3,4,5}))/5)</f>
        <v>67.408258585638421</v>
      </c>
      <c r="DM13" s="62">
        <f t="shared" si="10"/>
        <v>66.23588344859823</v>
      </c>
      <c r="DN13" s="13" t="str">
        <f t="shared" si="9"/>
        <v>Beaulieu, Sarah</v>
      </c>
      <c r="DO13" s="7">
        <v>10</v>
      </c>
      <c r="DP13" s="16"/>
      <c r="DQ13" s="9"/>
      <c r="DR13" s="9"/>
      <c r="DS13" s="121"/>
      <c r="DT13" s="128"/>
      <c r="DU13" s="128"/>
      <c r="DV13" s="128"/>
      <c r="DW13" s="13"/>
      <c r="DX13" s="7"/>
      <c r="DY13" s="16"/>
      <c r="DZ13" s="9"/>
      <c r="EA13" s="9"/>
      <c r="EB13" s="121"/>
      <c r="EC13" s="128"/>
      <c r="ED13" s="128"/>
      <c r="EE13" s="128"/>
      <c r="EF13" s="13"/>
      <c r="EG13" s="13"/>
      <c r="EI13" s="152"/>
    </row>
    <row r="14" spans="1:139" x14ac:dyDescent="0.2">
      <c r="A14" s="7">
        <v>11</v>
      </c>
      <c r="B14" s="119" t="s">
        <v>289</v>
      </c>
      <c r="C14" s="9" t="s">
        <v>5</v>
      </c>
      <c r="D14" s="9" t="s">
        <v>39</v>
      </c>
      <c r="E14" s="10">
        <v>52.076525659277756</v>
      </c>
      <c r="F14" s="10">
        <v>52.076525659277756</v>
      </c>
      <c r="G14" s="9">
        <f t="shared" si="0"/>
        <v>1</v>
      </c>
      <c r="H14" s="93">
        <v>52.076525659277756</v>
      </c>
      <c r="I14" s="47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96"/>
      <c r="U14" s="297"/>
      <c r="V14" s="298"/>
      <c r="W14" s="11"/>
      <c r="X14" s="96"/>
      <c r="Y14" s="96"/>
      <c r="Z14" s="96"/>
      <c r="AA14" s="96"/>
      <c r="AB14" s="96"/>
      <c r="AC14" s="96"/>
      <c r="AD14" s="96"/>
      <c r="AE14" s="96"/>
      <c r="AF14" s="110"/>
      <c r="AG14" s="11"/>
      <c r="AH14" s="11"/>
      <c r="AI14" s="11"/>
      <c r="AJ14" s="11"/>
      <c r="AK14" s="11"/>
      <c r="AL14" s="11"/>
      <c r="AM14" s="11"/>
      <c r="AN14" s="250"/>
      <c r="AO14" s="251"/>
      <c r="AP14" s="11"/>
      <c r="AQ14" s="11"/>
      <c r="AR14" s="11"/>
      <c r="AS14" s="11"/>
      <c r="AT14" s="11"/>
      <c r="AU14" s="11"/>
      <c r="AV14" s="11">
        <f>(INDEX('Race 40'!$E$8:$E$200,(MATCH($B14,'Race 40'!$B$8:$B$200,0)),1))*100</f>
        <v>53.309859895598791</v>
      </c>
      <c r="AW14" s="11"/>
      <c r="AX14" s="11"/>
      <c r="AY14" s="11"/>
      <c r="AZ14" s="96"/>
      <c r="BA14" s="11"/>
      <c r="BB14" s="11"/>
      <c r="BC14" s="96"/>
      <c r="BD14" s="11"/>
      <c r="BE14" s="96"/>
      <c r="BF14" s="11"/>
      <c r="BG14" s="11"/>
      <c r="BH14" s="11"/>
      <c r="BI14" s="11"/>
      <c r="BJ14" s="11"/>
      <c r="BK14" s="11"/>
      <c r="BL14" s="11"/>
      <c r="BM14" s="11"/>
      <c r="BN14" s="96"/>
      <c r="BO14" s="11"/>
      <c r="BP14" s="11"/>
      <c r="BQ14" s="11"/>
      <c r="BR14" s="11"/>
      <c r="BS14" s="11"/>
      <c r="BT14" s="11"/>
      <c r="BU14" s="11"/>
      <c r="BV14" s="11"/>
      <c r="BW14" s="96"/>
      <c r="BX14" s="11"/>
      <c r="BY14" s="11"/>
      <c r="BZ14" s="11"/>
      <c r="CA14" s="11"/>
      <c r="CB14" s="11"/>
      <c r="CC14" s="11"/>
      <c r="CD14" s="11"/>
      <c r="CE14" s="11"/>
      <c r="CF14" s="11"/>
      <c r="CG14" s="96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96"/>
      <c r="CY14" s="96"/>
      <c r="CZ14" s="11"/>
      <c r="DA14" s="26">
        <f t="shared" si="1"/>
        <v>53.309859895598791</v>
      </c>
      <c r="DB14" s="53" t="str">
        <f t="shared" si="2"/>
        <v>Behr, Caitlin</v>
      </c>
      <c r="DC14" s="68">
        <f t="shared" si="3"/>
        <v>1</v>
      </c>
      <c r="DD14" s="62">
        <v>52.076525659277756</v>
      </c>
      <c r="DE14" s="209">
        <f t="shared" si="4"/>
        <v>52.382686347252424</v>
      </c>
      <c r="DF14" s="115">
        <f t="shared" si="5"/>
        <v>0</v>
      </c>
      <c r="DG14" s="4">
        <f t="shared" si="6"/>
        <v>0</v>
      </c>
      <c r="DH14" s="115">
        <f t="shared" si="7"/>
        <v>1</v>
      </c>
      <c r="DI14" s="115" t="str">
        <f t="shared" si="8"/>
        <v>NH</v>
      </c>
      <c r="DJ14" s="62">
        <f>IF(COUNT(I14:U14)&lt;5,DA14,SUMPRODUCT(LARGE(I14:U14,{1,2,3,4,5}))/5)</f>
        <v>53.309859895598791</v>
      </c>
      <c r="DK14" s="62">
        <f>IF(COUNT(I14:AN14)&lt;5,DA14,SUMPRODUCT(LARGE(I14:AN14,{1,2,3,4,5}))/5)</f>
        <v>53.309859895598791</v>
      </c>
      <c r="DL14" s="209">
        <f>IF(COUNT(J14:CZ14)&lt;5,AVERAGE(J14:CZ14),SUMPRODUCT(LARGE(J14:CZ14,{1,2,3,4,5}))/5)</f>
        <v>53.309859895598791</v>
      </c>
      <c r="DM14" s="62">
        <f t="shared" si="10"/>
        <v>52.382686347252424</v>
      </c>
      <c r="DN14" s="13" t="str">
        <f t="shared" si="9"/>
        <v>Behr, Caitlin</v>
      </c>
      <c r="DO14" s="7">
        <v>11</v>
      </c>
      <c r="DP14" s="16"/>
      <c r="DQ14" s="9"/>
      <c r="DR14" s="9"/>
      <c r="DS14" s="139"/>
      <c r="DT14" s="15"/>
      <c r="DU14" s="128"/>
      <c r="DV14" s="128"/>
      <c r="DW14" s="13"/>
      <c r="DX14" s="7"/>
      <c r="DY14" s="16"/>
      <c r="DZ14" s="9"/>
      <c r="EA14" s="9"/>
      <c r="EB14" s="121"/>
      <c r="EC14" s="128"/>
      <c r="ED14" s="128"/>
      <c r="EE14" s="128"/>
      <c r="EF14" s="13"/>
      <c r="EG14" s="13"/>
      <c r="EI14" s="152"/>
    </row>
    <row r="15" spans="1:139" x14ac:dyDescent="0.2">
      <c r="A15" s="7">
        <v>12</v>
      </c>
      <c r="B15" s="8" t="s">
        <v>436</v>
      </c>
      <c r="C15" s="9" t="s">
        <v>5</v>
      </c>
      <c r="D15" s="9" t="s">
        <v>37</v>
      </c>
      <c r="E15" s="10">
        <v>0</v>
      </c>
      <c r="F15" s="10">
        <v>0</v>
      </c>
      <c r="G15" s="9">
        <f t="shared" si="0"/>
        <v>1</v>
      </c>
      <c r="H15" s="93">
        <v>0</v>
      </c>
      <c r="I15" s="46"/>
      <c r="J15" s="11"/>
      <c r="K15" s="96"/>
      <c r="L15" s="96"/>
      <c r="M15" s="109"/>
      <c r="N15" s="96"/>
      <c r="O15" s="96"/>
      <c r="P15" s="96"/>
      <c r="Q15" s="11"/>
      <c r="R15" s="96"/>
      <c r="S15" s="11"/>
      <c r="T15" s="11"/>
      <c r="U15" s="297"/>
      <c r="V15" s="300"/>
      <c r="W15" s="11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252"/>
      <c r="AO15" s="251"/>
      <c r="AP15" s="96"/>
      <c r="AQ15" s="96"/>
      <c r="AR15" s="96"/>
      <c r="AS15" s="96"/>
      <c r="AT15" s="96"/>
      <c r="AU15" s="96"/>
      <c r="AV15" s="96"/>
      <c r="AW15" s="11">
        <f>(INDEX('Race 41'!$E$8:$E$200,(MATCH($B15,'Race 41'!$B$8:$B$200,0)),1))*100</f>
        <v>79.542289101528539</v>
      </c>
      <c r="AX15" s="11"/>
      <c r="AY15" s="96"/>
      <c r="AZ15" s="96"/>
      <c r="BA15" s="11"/>
      <c r="BB15" s="11"/>
      <c r="BC15" s="96"/>
      <c r="BD15" s="11"/>
      <c r="BE15" s="11"/>
      <c r="BF15" s="96"/>
      <c r="BG15" s="96"/>
      <c r="BH15" s="96"/>
      <c r="BI15" s="96"/>
      <c r="BJ15" s="96"/>
      <c r="BK15" s="96"/>
      <c r="BL15" s="11"/>
      <c r="BM15" s="11"/>
      <c r="BN15" s="96"/>
      <c r="BO15" s="96"/>
      <c r="BP15" s="96"/>
      <c r="BQ15" s="96"/>
      <c r="BR15" s="96"/>
      <c r="BS15" s="11"/>
      <c r="BT15" s="11"/>
      <c r="BU15" s="11"/>
      <c r="BV15" s="11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26">
        <f t="shared" si="1"/>
        <v>79.542289101528539</v>
      </c>
      <c r="DB15" s="53" t="str">
        <f t="shared" si="2"/>
        <v>Bekoff, Anne</v>
      </c>
      <c r="DC15" s="68">
        <f t="shared" si="3"/>
        <v>1</v>
      </c>
      <c r="DD15" s="62">
        <v>66.367715995604314</v>
      </c>
      <c r="DE15" s="209">
        <f t="shared" si="4"/>
        <v>78.15887697900024</v>
      </c>
      <c r="DF15" s="115">
        <f t="shared" si="5"/>
        <v>0</v>
      </c>
      <c r="DG15" s="4">
        <f t="shared" si="6"/>
        <v>0</v>
      </c>
      <c r="DH15" s="115">
        <f t="shared" si="7"/>
        <v>1</v>
      </c>
      <c r="DI15" s="115" t="str">
        <f t="shared" si="8"/>
        <v>CO</v>
      </c>
      <c r="DJ15" s="62">
        <f>IF(COUNT(I15:U15)&lt;5,DA15,SUMPRODUCT(LARGE(I15:U15,{1,2,3,4,5}))/5)</f>
        <v>79.542289101528539</v>
      </c>
      <c r="DK15" s="62">
        <f>IF(COUNT(I15:AN15)&lt;5,DA15,SUMPRODUCT(LARGE(I15:AN15,{1,2,3,4,5}))/5)</f>
        <v>79.542289101528539</v>
      </c>
      <c r="DL15" s="209">
        <f>IF(COUNT(J15:CZ15)&lt;5,AVERAGE(J15:CZ15),SUMPRODUCT(LARGE(J15:CZ15,{1,2,3,4,5}))/5)</f>
        <v>79.542289101528539</v>
      </c>
      <c r="DM15" s="62">
        <f t="shared" si="10"/>
        <v>78.15887697900024</v>
      </c>
      <c r="DN15" s="13" t="str">
        <f t="shared" si="9"/>
        <v>Bekoff, Anne</v>
      </c>
      <c r="DO15" s="7">
        <v>12</v>
      </c>
      <c r="DP15" s="16"/>
      <c r="DQ15" s="9"/>
      <c r="DR15" s="9"/>
      <c r="DS15" s="139"/>
      <c r="DT15" s="15"/>
      <c r="DU15" s="128"/>
      <c r="DV15" s="128"/>
      <c r="DW15" s="13"/>
      <c r="DX15" s="7"/>
      <c r="DY15" s="16"/>
      <c r="DZ15" s="9"/>
      <c r="EA15" s="9"/>
      <c r="EB15" s="121"/>
      <c r="EC15" s="128"/>
      <c r="ED15" s="128"/>
      <c r="EE15" s="128"/>
      <c r="EF15" s="13"/>
      <c r="EG15" s="13"/>
      <c r="EI15" s="152"/>
    </row>
    <row r="16" spans="1:139" x14ac:dyDescent="0.2">
      <c r="A16" s="7">
        <v>13</v>
      </c>
      <c r="B16" s="119" t="s">
        <v>257</v>
      </c>
      <c r="C16" s="9" t="s">
        <v>5</v>
      </c>
      <c r="D16" s="9" t="s">
        <v>36</v>
      </c>
      <c r="E16" s="10">
        <v>51.877018016687813</v>
      </c>
      <c r="F16" s="10">
        <v>51.715521055637709</v>
      </c>
      <c r="G16" s="9">
        <f t="shared" si="0"/>
        <v>11</v>
      </c>
      <c r="H16" s="93">
        <v>49.933028757872883</v>
      </c>
      <c r="I16" s="47">
        <f>(INDEX('Race 1'!$E$8:$E$200,(MATCH($B16,'Race 1'!$B$8:$B$200,0)),1))*100</f>
        <v>50.793379865396894</v>
      </c>
      <c r="J16" s="11"/>
      <c r="K16" s="11"/>
      <c r="L16" s="11"/>
      <c r="M16" s="11">
        <f>(INDEX('Race 5'!$E$8:$E$200,(MATCH($B16,'Race 5'!$B$8:$B$200,0)),1))*100</f>
        <v>52.960656167978726</v>
      </c>
      <c r="N16" s="11"/>
      <c r="O16" s="11"/>
      <c r="P16" s="11"/>
      <c r="Q16" s="11"/>
      <c r="R16" s="11"/>
      <c r="S16" s="11"/>
      <c r="T16" s="96"/>
      <c r="U16" s="297"/>
      <c r="V16" s="298"/>
      <c r="W16" s="11"/>
      <c r="X16" s="96"/>
      <c r="Y16" s="96"/>
      <c r="Z16" s="96"/>
      <c r="AA16" s="96"/>
      <c r="AB16" s="96"/>
      <c r="AC16" s="96"/>
      <c r="AD16" s="96"/>
      <c r="AE16" s="96"/>
      <c r="AF16" s="110"/>
      <c r="AG16" s="11">
        <f>(INDEX('Race 25'!$E$8:$E$200,(MATCH($B16,'Race 25'!$B$8:$B$200,0)),1))*100</f>
        <v>53.801177633686905</v>
      </c>
      <c r="AH16" s="11">
        <f>(INDEX('Race 26'!$E$8:$E$200,(MATCH($B16,'Race 26'!$B$8:$B$200,0)),1))*100</f>
        <v>49.306870555488302</v>
      </c>
      <c r="AI16" s="11"/>
      <c r="AJ16" s="11"/>
      <c r="AK16" s="11"/>
      <c r="AL16" s="11"/>
      <c r="AM16" s="11"/>
      <c r="AN16" s="250"/>
      <c r="AO16" s="25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96"/>
      <c r="BA16" s="11"/>
      <c r="BB16" s="11"/>
      <c r="BC16" s="11"/>
      <c r="BD16" s="11"/>
      <c r="BE16" s="11">
        <f>(INDEX('Race 49'!$E$8:$E$200,(MATCH($B16,'Race 49'!$B$8:$B$200,0)),1))*100</f>
        <v>55.32228097230368</v>
      </c>
      <c r="BF16" s="11"/>
      <c r="BG16" s="11"/>
      <c r="BH16" s="11"/>
      <c r="BI16" s="11"/>
      <c r="BJ16" s="11"/>
      <c r="BK16" s="11"/>
      <c r="BL16" s="11">
        <f>(INDEX('Race 56'!$E$8:$E$200,(MATCH($B16,'Race 56'!$B$8:$B$200,0)),1))*100</f>
        <v>53.933087831142657</v>
      </c>
      <c r="BM16" s="11">
        <f>(INDEX('Race 57'!$E$8:$E$200,(MATCH($B16,'Race 57'!$B$8:$B$200,0)),1))*100</f>
        <v>51.531419069319227</v>
      </c>
      <c r="BN16" s="11">
        <f>(INDEX('Race 58'!$E$8:$E$200,(MATCH($B16,'Race 58'!$B$8:$B$200,0)),1))*100</f>
        <v>53.478058694419374</v>
      </c>
      <c r="BO16" s="11"/>
      <c r="BP16" s="11">
        <f>(INDEX('Race 60'!$E$8:$E$200,(MATCH($B16,'Race 60'!$B$8:$B$200,0)),1))*100</f>
        <v>53.772750033877003</v>
      </c>
      <c r="BQ16" s="11"/>
      <c r="BR16" s="11">
        <f>(INDEX('Race 62'!$E$8:$E$200,(MATCH($B16,'Race 62'!$B$8:$B$200,0)),1))*100</f>
        <v>51.695979136371704</v>
      </c>
      <c r="BS16" s="11"/>
      <c r="BT16" s="11"/>
      <c r="BU16" s="11"/>
      <c r="BV16" s="11"/>
      <c r="BW16" s="96">
        <f>(INDEX('Race 67'!$E$8:$E$200,(MATCH($B16,'Race 67'!$B$8:$B$200,0)),1))*100</f>
        <v>66.423538420163169</v>
      </c>
      <c r="BX16" s="11"/>
      <c r="BY16" s="11"/>
      <c r="BZ16" s="11"/>
      <c r="CA16" s="11"/>
      <c r="CB16" s="11"/>
      <c r="CC16" s="11"/>
      <c r="CD16" s="11"/>
      <c r="CE16" s="11"/>
      <c r="CF16" s="11"/>
      <c r="CG16" s="96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96"/>
      <c r="CY16" s="96"/>
      <c r="CZ16" s="11"/>
      <c r="DA16" s="26">
        <f t="shared" si="1"/>
        <v>53.910836216377056</v>
      </c>
      <c r="DB16" s="53" t="str">
        <f t="shared" si="2"/>
        <v>Bellisle, Martha</v>
      </c>
      <c r="DC16" s="68">
        <f t="shared" si="3"/>
        <v>1</v>
      </c>
      <c r="DD16" s="62">
        <v>49.933028757872883</v>
      </c>
      <c r="DE16" s="209">
        <f t="shared" si="4"/>
        <v>55.66529132183814</v>
      </c>
      <c r="DF16" s="115">
        <f t="shared" si="5"/>
        <v>2</v>
      </c>
      <c r="DG16" s="4">
        <f t="shared" si="6"/>
        <v>4</v>
      </c>
      <c r="DH16" s="115">
        <f t="shared" si="7"/>
        <v>11</v>
      </c>
      <c r="DI16" s="115" t="str">
        <f t="shared" si="8"/>
        <v>WA</v>
      </c>
      <c r="DJ16" s="62">
        <f>IF(COUNT(I16:U16)&lt;5,DA16,SUMPRODUCT(LARGE(I16:U16,{1,2,3,4,5}))/5)</f>
        <v>53.910836216377056</v>
      </c>
      <c r="DK16" s="62">
        <f>IF(COUNT(I16:AN16)&lt;5,DA16,SUMPRODUCT(LARGE(I16:AN16,{1,2,3,4,5}))/5)</f>
        <v>53.910836216377056</v>
      </c>
      <c r="DL16" s="62">
        <f>IF(COUNT(J16:CZ16)&lt;5,AVERAGE(J16:CZ16),SUMPRODUCT(LARGE(J16:CZ16,{1,2,3,4,5}))/5)</f>
        <v>56.650566978234679</v>
      </c>
      <c r="DM16" s="62">
        <f t="shared" si="10"/>
        <v>55.66529132183814</v>
      </c>
      <c r="DN16" s="13" t="str">
        <f t="shared" si="9"/>
        <v>Bellisle, Martha</v>
      </c>
      <c r="DO16" s="7">
        <v>13</v>
      </c>
      <c r="DP16" s="8"/>
      <c r="DQ16" s="9"/>
      <c r="DR16" s="9"/>
      <c r="DS16" s="121"/>
      <c r="DT16" s="128"/>
      <c r="DU16" s="128"/>
      <c r="DV16" s="128"/>
      <c r="DW16" s="13"/>
      <c r="DX16" s="7"/>
      <c r="DY16" s="16"/>
      <c r="DZ16" s="9"/>
      <c r="EA16" s="9"/>
      <c r="EB16" s="139"/>
      <c r="EC16" s="15"/>
      <c r="ED16" s="128"/>
      <c r="EE16" s="128"/>
      <c r="EF16" s="13"/>
      <c r="EG16" s="13"/>
      <c r="EI16" s="152"/>
    </row>
    <row r="17" spans="1:139" x14ac:dyDescent="0.2">
      <c r="A17" s="7">
        <v>14</v>
      </c>
      <c r="B17" s="190" t="s">
        <v>346</v>
      </c>
      <c r="C17" s="19" t="s">
        <v>5</v>
      </c>
      <c r="D17" s="19" t="s">
        <v>32</v>
      </c>
      <c r="E17" s="10">
        <v>81.649466230576181</v>
      </c>
      <c r="F17" s="10">
        <v>82.305540558415331</v>
      </c>
      <c r="G17" s="9">
        <f t="shared" si="0"/>
        <v>6</v>
      </c>
      <c r="H17" s="93">
        <v>73.541805346681699</v>
      </c>
      <c r="I17" s="46"/>
      <c r="J17" s="11"/>
      <c r="K17" s="11"/>
      <c r="L17" s="11"/>
      <c r="M17" s="11"/>
      <c r="N17" s="11"/>
      <c r="O17" s="11">
        <f>(INDEX('Race 7'!$E$8:$E$200,(MATCH($B17,'Race 7'!$B$8:$B$200,0)),1))*100</f>
        <v>82.558445720752459</v>
      </c>
      <c r="P17" s="11">
        <f>(INDEX('Race 8'!$E$8:$E$200,(MATCH($B17,'Race 8'!$B$8:$B$200,0)),1))*100</f>
        <v>88.446704804875026</v>
      </c>
      <c r="Q17" s="11">
        <f>(INDEX('Race 9'!$E$8:$E$200,(MATCH($B17,'Race 9'!$B$8:$B$200,0)),1))*100</f>
        <v>79.842770930166296</v>
      </c>
      <c r="R17" s="11">
        <f>(INDEX('Race 10'!$E$8:$E$200,(MATCH($B17,'Race 10'!$B$8:$B$200,0)),1))*100</f>
        <v>75.74994346651097</v>
      </c>
      <c r="S17" s="11"/>
      <c r="T17" s="96"/>
      <c r="U17" s="297"/>
      <c r="V17" s="298"/>
      <c r="W17" s="11"/>
      <c r="X17" s="96"/>
      <c r="Y17" s="96"/>
      <c r="Z17" s="96"/>
      <c r="AA17" s="96"/>
      <c r="AB17" s="96"/>
      <c r="AC17" s="96"/>
      <c r="AD17" s="96"/>
      <c r="AE17" s="96"/>
      <c r="AF17" s="110"/>
      <c r="AG17" s="11"/>
      <c r="AH17" s="11"/>
      <c r="AI17" s="11">
        <f>(INDEX('Race 27'!$E$8:$E$200,(MATCH($B17,'Race 27'!$B$8:$B$200,0)),1))*100</f>
        <v>80.791633641695469</v>
      </c>
      <c r="AJ17" s="11">
        <f>(INDEX('Race 28'!$E$8:$E$200,(MATCH($B17,'Race 28'!$B$8:$B$200,0)),1))*100</f>
        <v>79.888147694587431</v>
      </c>
      <c r="AK17" s="11"/>
      <c r="AL17" s="11"/>
      <c r="AM17" s="11"/>
      <c r="AN17" s="250"/>
      <c r="AO17" s="25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96"/>
      <c r="BA17" s="11"/>
      <c r="BB17" s="11"/>
      <c r="BC17" s="96"/>
      <c r="BD17" s="11"/>
      <c r="BE17" s="96"/>
      <c r="BF17" s="11"/>
      <c r="BG17" s="11"/>
      <c r="BH17" s="11"/>
      <c r="BI17" s="11"/>
      <c r="BJ17" s="11"/>
      <c r="BK17" s="11"/>
      <c r="BL17" s="11"/>
      <c r="BM17" s="11"/>
      <c r="BN17" s="96"/>
      <c r="BO17" s="11"/>
      <c r="BP17" s="11"/>
      <c r="BQ17" s="11"/>
      <c r="BR17" s="11"/>
      <c r="BS17" s="11"/>
      <c r="BT17" s="11"/>
      <c r="BU17" s="11"/>
      <c r="BV17" s="11"/>
      <c r="BW17" s="96"/>
      <c r="BX17" s="11"/>
      <c r="BY17" s="11"/>
      <c r="BZ17" s="11"/>
      <c r="CA17" s="11"/>
      <c r="CB17" s="11"/>
      <c r="CC17" s="11"/>
      <c r="CD17" s="11"/>
      <c r="CE17" s="11"/>
      <c r="CF17" s="11"/>
      <c r="CG17" s="96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96"/>
      <c r="CY17" s="96"/>
      <c r="CZ17" s="11"/>
      <c r="DA17" s="26">
        <f t="shared" si="1"/>
        <v>81.212941043097928</v>
      </c>
      <c r="DB17" s="53" t="str">
        <f t="shared" si="2"/>
        <v>Bender, Jennie</v>
      </c>
      <c r="DC17" s="68">
        <f t="shared" si="3"/>
        <v>1</v>
      </c>
      <c r="DD17" s="62">
        <v>73.541805346681699</v>
      </c>
      <c r="DE17" s="209">
        <f t="shared" si="4"/>
        <v>80.874069527773727</v>
      </c>
      <c r="DF17" s="115">
        <f t="shared" si="5"/>
        <v>4</v>
      </c>
      <c r="DG17" s="4">
        <f t="shared" si="6"/>
        <v>6</v>
      </c>
      <c r="DH17" s="115">
        <f t="shared" si="7"/>
        <v>6</v>
      </c>
      <c r="DI17" s="115" t="str">
        <f t="shared" si="8"/>
        <v>VT</v>
      </c>
      <c r="DJ17" s="62">
        <f>IF(COUNT(I17:U17)&lt;5,DA17,SUMPRODUCT(LARGE(I17:U17,{1,2,3,4,5}))/5)</f>
        <v>81.212941043097928</v>
      </c>
      <c r="DK17" s="62">
        <f>IF(COUNT(I17:AN17)&lt;5,DA17,SUMPRODUCT(LARGE(I17:AN17,{1,2,3,4,5}))/5)</f>
        <v>82.305540558415331</v>
      </c>
      <c r="DL17" s="209">
        <f>IF(COUNT(J17:CZ17)&lt;5,AVERAGE(J17:CZ17),SUMPRODUCT(LARGE(J17:CZ17,{1,2,3,4,5}))/5)</f>
        <v>82.305540558415331</v>
      </c>
      <c r="DM17" s="62">
        <f t="shared" si="10"/>
        <v>80.874069527773727</v>
      </c>
      <c r="DN17" s="13" t="str">
        <f t="shared" si="9"/>
        <v>Bender, Jennie</v>
      </c>
      <c r="DO17" s="7">
        <v>14</v>
      </c>
      <c r="DP17" s="8"/>
      <c r="DQ17" s="9"/>
      <c r="DR17" s="9"/>
      <c r="DS17" s="121"/>
      <c r="DT17" s="128"/>
      <c r="DU17" s="128"/>
      <c r="DV17" s="128"/>
      <c r="DW17" s="13"/>
      <c r="DX17" s="7"/>
      <c r="DY17" s="16"/>
      <c r="DZ17" s="9"/>
      <c r="EA17" s="9"/>
      <c r="EB17" s="121"/>
      <c r="EC17" s="128"/>
      <c r="ED17" s="128"/>
      <c r="EE17" s="128"/>
      <c r="EF17" s="13"/>
      <c r="EG17" s="13"/>
      <c r="EI17" s="152"/>
    </row>
    <row r="18" spans="1:139" x14ac:dyDescent="0.2">
      <c r="A18" s="7">
        <v>15</v>
      </c>
      <c r="B18" s="190" t="s">
        <v>399</v>
      </c>
      <c r="C18" s="19" t="s">
        <v>5</v>
      </c>
      <c r="D18" s="19" t="s">
        <v>32</v>
      </c>
      <c r="E18" s="10">
        <v>0</v>
      </c>
      <c r="F18" s="10">
        <v>39.83526631637271</v>
      </c>
      <c r="G18" s="9">
        <f t="shared" si="0"/>
        <v>1</v>
      </c>
      <c r="H18" s="93">
        <v>0</v>
      </c>
      <c r="I18" s="47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96"/>
      <c r="U18" s="297"/>
      <c r="V18" s="298"/>
      <c r="W18" s="11"/>
      <c r="X18" s="96"/>
      <c r="Y18" s="96"/>
      <c r="Z18" s="96"/>
      <c r="AA18" s="96"/>
      <c r="AB18" s="96"/>
      <c r="AC18" s="96"/>
      <c r="AD18" s="96"/>
      <c r="AE18" s="96"/>
      <c r="AF18" s="96"/>
      <c r="AG18" s="11"/>
      <c r="AH18" s="11"/>
      <c r="AI18" s="11"/>
      <c r="AJ18" s="11"/>
      <c r="AK18" s="11"/>
      <c r="AL18" s="11"/>
      <c r="AM18" s="11"/>
      <c r="AN18" s="250"/>
      <c r="AO18" s="251">
        <f>(INDEX('Race 33'!$E$8:$E$200,(MATCH($B18,'Race 33'!$B$8:$B$200,0)),1))*100</f>
        <v>40.077015034557853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96"/>
      <c r="BA18" s="11"/>
      <c r="BB18" s="11"/>
      <c r="BC18" s="96"/>
      <c r="BD18" s="11"/>
      <c r="BE18" s="96"/>
      <c r="BF18" s="11"/>
      <c r="BG18" s="11"/>
      <c r="BH18" s="11"/>
      <c r="BI18" s="11"/>
      <c r="BJ18" s="11"/>
      <c r="BK18" s="11"/>
      <c r="BL18" s="11"/>
      <c r="BM18" s="11"/>
      <c r="BN18" s="96"/>
      <c r="BO18" s="11"/>
      <c r="BP18" s="11"/>
      <c r="BQ18" s="11"/>
      <c r="BR18" s="11"/>
      <c r="BS18" s="11"/>
      <c r="BT18" s="11"/>
      <c r="BU18" s="11"/>
      <c r="BV18" s="11"/>
      <c r="BW18" s="96"/>
      <c r="BX18" s="11"/>
      <c r="BY18" s="11"/>
      <c r="BZ18" s="11"/>
      <c r="CA18" s="11"/>
      <c r="CB18" s="11"/>
      <c r="CC18" s="11"/>
      <c r="CD18" s="11"/>
      <c r="CE18" s="11"/>
      <c r="CF18" s="11"/>
      <c r="CG18" s="96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96"/>
      <c r="CY18" s="96"/>
      <c r="CZ18" s="11"/>
      <c r="DA18" s="26">
        <f t="shared" si="1"/>
        <v>40.077015034557853</v>
      </c>
      <c r="DB18" s="53" t="str">
        <f t="shared" si="2"/>
        <v>Betournay, Jennifer</v>
      </c>
      <c r="DC18" s="68">
        <f t="shared" si="3"/>
        <v>1</v>
      </c>
      <c r="DD18" s="62">
        <v>66.367715995604314</v>
      </c>
      <c r="DE18" s="209">
        <f t="shared" si="4"/>
        <v>39.379989225270563</v>
      </c>
      <c r="DF18" s="115">
        <f t="shared" si="5"/>
        <v>0</v>
      </c>
      <c r="DG18" s="4">
        <f t="shared" si="6"/>
        <v>1</v>
      </c>
      <c r="DH18" s="115">
        <f t="shared" si="7"/>
        <v>1</v>
      </c>
      <c r="DI18" s="115" t="str">
        <f t="shared" si="8"/>
        <v>VT</v>
      </c>
      <c r="DJ18" s="62">
        <f>IF(COUNT(I18:U18)&lt;5,DA18,SUMPRODUCT(LARGE(I18:U18,{1,2,3,4,5}))/5)</f>
        <v>40.077015034557853</v>
      </c>
      <c r="DK18" s="62">
        <f>IF(COUNT(I18:AN18)&lt;5,DA18,SUMPRODUCT(LARGE(I18:AN18,{1,2,3,4,5}))/5)</f>
        <v>40.077015034557853</v>
      </c>
      <c r="DL18" s="209">
        <f>IF(COUNT(J18:CZ18)&lt;5,AVERAGE(J18:CZ18),SUMPRODUCT(LARGE(J18:CZ18,{1,2,3,4,5}))/5)</f>
        <v>40.077015034557853</v>
      </c>
      <c r="DM18" s="62">
        <f t="shared" si="10"/>
        <v>39.379989225270563</v>
      </c>
      <c r="DN18" s="13" t="str">
        <f t="shared" si="9"/>
        <v>Betournay, Jennifer</v>
      </c>
      <c r="DO18" s="7">
        <v>15</v>
      </c>
      <c r="DP18" s="136"/>
      <c r="DQ18" s="9"/>
      <c r="DR18" s="9"/>
      <c r="DS18" s="121"/>
      <c r="DT18" s="128"/>
      <c r="DU18" s="128"/>
      <c r="DV18" s="128"/>
      <c r="DW18" s="13"/>
      <c r="DX18" s="7"/>
      <c r="DY18" s="16"/>
      <c r="DZ18" s="9"/>
      <c r="EA18" s="9"/>
      <c r="EB18" s="139"/>
      <c r="EC18" s="15"/>
      <c r="ED18" s="128"/>
      <c r="EE18" s="128"/>
      <c r="EF18" s="13"/>
      <c r="EG18" s="13"/>
      <c r="EI18" s="152"/>
    </row>
    <row r="19" spans="1:139" x14ac:dyDescent="0.2">
      <c r="A19" s="7">
        <v>16</v>
      </c>
      <c r="B19" s="190" t="s">
        <v>307</v>
      </c>
      <c r="C19" s="19" t="s">
        <v>5</v>
      </c>
      <c r="D19" s="19" t="s">
        <v>31</v>
      </c>
      <c r="E19" s="10">
        <v>30.098211706801315</v>
      </c>
      <c r="F19" s="10">
        <v>30.098211706801315</v>
      </c>
      <c r="G19" s="9">
        <f t="shared" si="0"/>
        <v>0</v>
      </c>
      <c r="H19" s="93">
        <v>30.098211706801315</v>
      </c>
      <c r="I19" s="47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96"/>
      <c r="U19" s="297"/>
      <c r="V19" s="298"/>
      <c r="W19" s="11"/>
      <c r="X19" s="96"/>
      <c r="Y19" s="96"/>
      <c r="Z19" s="96"/>
      <c r="AA19" s="96"/>
      <c r="AB19" s="96"/>
      <c r="AC19" s="96"/>
      <c r="AD19" s="96"/>
      <c r="AE19" s="96"/>
      <c r="AF19" s="96"/>
      <c r="AG19" s="11"/>
      <c r="AH19" s="11"/>
      <c r="AI19" s="11"/>
      <c r="AJ19" s="11"/>
      <c r="AK19" s="11"/>
      <c r="AL19" s="11"/>
      <c r="AM19" s="11"/>
      <c r="AN19" s="250"/>
      <c r="AO19" s="25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96"/>
      <c r="BA19" s="11"/>
      <c r="BB19" s="11"/>
      <c r="BC19" s="96"/>
      <c r="BD19" s="11"/>
      <c r="BE19" s="96"/>
      <c r="BF19" s="11"/>
      <c r="BG19" s="11"/>
      <c r="BH19" s="11"/>
      <c r="BI19" s="11"/>
      <c r="BJ19" s="11"/>
      <c r="BK19" s="11"/>
      <c r="BL19" s="11"/>
      <c r="BM19" s="11"/>
      <c r="BN19" s="96"/>
      <c r="BO19" s="11"/>
      <c r="BP19" s="11"/>
      <c r="BQ19" s="11"/>
      <c r="BR19" s="11"/>
      <c r="BS19" s="11"/>
      <c r="BT19" s="11"/>
      <c r="BU19" s="11"/>
      <c r="BV19" s="11"/>
      <c r="BW19" s="96"/>
      <c r="BX19" s="11"/>
      <c r="BY19" s="11"/>
      <c r="BZ19" s="11"/>
      <c r="CA19" s="11"/>
      <c r="CB19" s="11"/>
      <c r="CC19" s="11"/>
      <c r="CD19" s="11"/>
      <c r="CE19" s="11"/>
      <c r="CF19" s="11"/>
      <c r="CG19" s="96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96"/>
      <c r="CY19" s="96"/>
      <c r="CZ19" s="11"/>
      <c r="DA19" s="26">
        <f t="shared" si="1"/>
        <v>30.098211706801315</v>
      </c>
      <c r="DB19" s="53" t="str">
        <f t="shared" si="2"/>
        <v>Birdsall, Ashley</v>
      </c>
      <c r="DC19" s="68">
        <f t="shared" si="3"/>
        <v>0</v>
      </c>
      <c r="DD19" s="209">
        <v>30.098211706801315</v>
      </c>
      <c r="DE19" s="209">
        <f t="shared" si="4"/>
        <v>0</v>
      </c>
      <c r="DF19" s="115">
        <f>COUNT(I19:AC19)</f>
        <v>0</v>
      </c>
      <c r="DG19" s="4">
        <f t="shared" si="6"/>
        <v>0</v>
      </c>
      <c r="DH19" s="115">
        <f t="shared" si="7"/>
        <v>0</v>
      </c>
      <c r="DI19" s="115" t="str">
        <f t="shared" si="8"/>
        <v>MN</v>
      </c>
      <c r="DJ19" s="62">
        <f>IF(COUNT(I19:U19)&lt;5,DA19,SUMPRODUCT(LARGE(I19:U19,{1,2,3,4,5}))/5)</f>
        <v>30.098211706801315</v>
      </c>
      <c r="DK19" s="62">
        <f>IF(COUNT(I19:AN19)&lt;5,DA19,SUMPRODUCT(LARGE(I19:AN19,{1,2,3,4,5}))/5)</f>
        <v>30.098211706801315</v>
      </c>
      <c r="DL19" s="209">
        <f>IF(COUNT(J19:CZ19)=0,0,SUMPRODUCT(LARGE(J19:CZ19,{1,2,3,4,5}))/5)</f>
        <v>0</v>
      </c>
      <c r="DM19" s="62">
        <f t="shared" si="10"/>
        <v>0</v>
      </c>
      <c r="DN19" s="13" t="str">
        <f t="shared" si="9"/>
        <v>Birdsall, Ashley</v>
      </c>
      <c r="DO19" s="7">
        <v>16</v>
      </c>
      <c r="DP19" s="8"/>
      <c r="DQ19" s="9"/>
      <c r="DR19" s="9"/>
      <c r="DS19" s="121"/>
      <c r="DT19" s="128"/>
      <c r="DU19" s="128"/>
      <c r="DV19" s="128"/>
      <c r="DW19" s="13"/>
      <c r="DX19" s="7"/>
      <c r="DY19" s="18"/>
      <c r="DZ19" s="19"/>
      <c r="EA19" s="19"/>
      <c r="EB19" s="121"/>
      <c r="EC19" s="128"/>
      <c r="ED19" s="128"/>
      <c r="EE19" s="128"/>
      <c r="EF19" s="13"/>
      <c r="EG19" s="13"/>
      <c r="EI19" s="152"/>
    </row>
    <row r="20" spans="1:139" x14ac:dyDescent="0.2">
      <c r="A20" s="7">
        <v>17</v>
      </c>
      <c r="B20" s="190" t="s">
        <v>306</v>
      </c>
      <c r="C20" s="19" t="s">
        <v>5</v>
      </c>
      <c r="D20" s="19" t="s">
        <v>48</v>
      </c>
      <c r="E20" s="10">
        <v>35.09939990485244</v>
      </c>
      <c r="F20" s="10">
        <v>35.09939990485244</v>
      </c>
      <c r="G20" s="9">
        <f t="shared" si="0"/>
        <v>0</v>
      </c>
      <c r="H20" s="93">
        <v>35.09939990485244</v>
      </c>
      <c r="I20" s="47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96"/>
      <c r="U20" s="297"/>
      <c r="V20" s="298"/>
      <c r="W20" s="11"/>
      <c r="X20" s="96"/>
      <c r="Y20" s="96"/>
      <c r="Z20" s="96"/>
      <c r="AA20" s="96"/>
      <c r="AB20" s="96"/>
      <c r="AC20" s="96"/>
      <c r="AD20" s="96"/>
      <c r="AE20" s="96"/>
      <c r="AF20" s="96"/>
      <c r="AG20" s="11"/>
      <c r="AH20" s="11"/>
      <c r="AI20" s="11"/>
      <c r="AJ20" s="11"/>
      <c r="AK20" s="11"/>
      <c r="AL20" s="11"/>
      <c r="AM20" s="11"/>
      <c r="AN20" s="250"/>
      <c r="AO20" s="25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96"/>
      <c r="BA20" s="11"/>
      <c r="BB20" s="11"/>
      <c r="BC20" s="96"/>
      <c r="BD20" s="11"/>
      <c r="BE20" s="96"/>
      <c r="BF20" s="11"/>
      <c r="BG20" s="11"/>
      <c r="BH20" s="11"/>
      <c r="BI20" s="11"/>
      <c r="BJ20" s="11"/>
      <c r="BK20" s="11"/>
      <c r="BL20" s="11"/>
      <c r="BM20" s="11"/>
      <c r="BN20" s="96"/>
      <c r="BO20" s="11"/>
      <c r="BP20" s="11"/>
      <c r="BQ20" s="11"/>
      <c r="BR20" s="11"/>
      <c r="BS20" s="11"/>
      <c r="BT20" s="11"/>
      <c r="BU20" s="11"/>
      <c r="BV20" s="11"/>
      <c r="BW20" s="96"/>
      <c r="BX20" s="11"/>
      <c r="BY20" s="11"/>
      <c r="BZ20" s="11"/>
      <c r="CA20" s="11"/>
      <c r="CB20" s="11"/>
      <c r="CC20" s="11"/>
      <c r="CD20" s="11"/>
      <c r="CE20" s="11"/>
      <c r="CF20" s="11"/>
      <c r="CG20" s="96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96"/>
      <c r="CY20" s="96"/>
      <c r="CZ20" s="11"/>
      <c r="DA20" s="26">
        <f t="shared" si="1"/>
        <v>35.09939990485244</v>
      </c>
      <c r="DB20" s="53" t="str">
        <f t="shared" si="2"/>
        <v xml:space="preserve">Bishop, Francie </v>
      </c>
      <c r="DC20" s="68">
        <f t="shared" si="3"/>
        <v>0</v>
      </c>
      <c r="DD20" s="62">
        <v>35.09939990485244</v>
      </c>
      <c r="DE20" s="209">
        <f t="shared" si="4"/>
        <v>0</v>
      </c>
      <c r="DF20" s="115">
        <f t="shared" ref="DF20:DF59" si="11">COUNT(I20:X20)</f>
        <v>0</v>
      </c>
      <c r="DG20" s="4">
        <f t="shared" si="6"/>
        <v>0</v>
      </c>
      <c r="DH20" s="115">
        <f t="shared" si="7"/>
        <v>0</v>
      </c>
      <c r="DI20" s="115" t="str">
        <f t="shared" si="8"/>
        <v>CA</v>
      </c>
      <c r="DJ20" s="62">
        <f>IF(COUNT(I20:U20)&lt;5,DA20,SUMPRODUCT(LARGE(I20:U20,{1,2,3,4,5}))/5)</f>
        <v>35.09939990485244</v>
      </c>
      <c r="DK20" s="62">
        <f>IF(COUNT(I20:AN20)&lt;5,DA20,SUMPRODUCT(LARGE(I20:AN20,{1,2,3,4,5}))/5)</f>
        <v>35.09939990485244</v>
      </c>
      <c r="DL20" s="209">
        <f>IF(COUNT(J20:CZ20)=0,0,SUMPRODUCT(LARGE(J20:CZ20,{1,2,3,4,5}))/5)</f>
        <v>0</v>
      </c>
      <c r="DM20" s="62">
        <f t="shared" si="10"/>
        <v>0</v>
      </c>
      <c r="DN20" s="13" t="str">
        <f t="shared" si="9"/>
        <v xml:space="preserve">Bishop, Francie </v>
      </c>
      <c r="DO20" s="7">
        <v>17</v>
      </c>
      <c r="DP20" s="103"/>
      <c r="DQ20" s="19"/>
      <c r="DR20" s="19"/>
      <c r="DS20" s="121"/>
      <c r="DT20" s="128"/>
      <c r="DU20" s="128"/>
      <c r="DV20" s="128"/>
      <c r="DW20" s="13"/>
      <c r="DX20" s="7"/>
      <c r="DY20" s="118"/>
      <c r="DZ20" s="19"/>
      <c r="EA20" s="19"/>
      <c r="EB20" s="139"/>
      <c r="EC20" s="15"/>
      <c r="ED20" s="128"/>
      <c r="EE20" s="128"/>
      <c r="EF20" s="13"/>
      <c r="EG20" s="13"/>
      <c r="EI20" s="152"/>
    </row>
    <row r="21" spans="1:139" x14ac:dyDescent="0.2">
      <c r="A21" s="7">
        <v>18</v>
      </c>
      <c r="B21" s="190" t="s">
        <v>66</v>
      </c>
      <c r="C21" s="19" t="s">
        <v>5</v>
      </c>
      <c r="D21" s="19" t="s">
        <v>36</v>
      </c>
      <c r="E21" s="10">
        <v>49.486533417014016</v>
      </c>
      <c r="F21" s="10">
        <v>49.491108471830572</v>
      </c>
      <c r="G21" s="9">
        <f t="shared" si="0"/>
        <v>5</v>
      </c>
      <c r="H21" s="93">
        <v>49.486533417014016</v>
      </c>
      <c r="I21" s="46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96"/>
      <c r="U21" s="299"/>
      <c r="V21" s="298"/>
      <c r="W21" s="96"/>
      <c r="X21" s="96"/>
      <c r="Y21" s="96"/>
      <c r="Z21" s="96"/>
      <c r="AA21" s="96"/>
      <c r="AB21" s="96"/>
      <c r="AC21" s="96"/>
      <c r="AD21" s="96"/>
      <c r="AE21" s="110"/>
      <c r="AF21" s="110"/>
      <c r="AG21" s="11">
        <f>(INDEX('Race 25'!$E$8:$E$200,(MATCH($B21,'Race 25'!$B$8:$B$200,0)),1))*100</f>
        <v>44.846908603361207</v>
      </c>
      <c r="AH21" s="11">
        <f>(INDEX('Race 26'!$E$8:$E$200,(MATCH($B21,'Race 26'!$B$8:$B$200,0)),1))*100</f>
        <v>54.135308340299936</v>
      </c>
      <c r="AI21" s="11"/>
      <c r="AJ21" s="11"/>
      <c r="AK21" s="11"/>
      <c r="AL21" s="11"/>
      <c r="AM21" s="11"/>
      <c r="AN21" s="250"/>
      <c r="AO21" s="251"/>
      <c r="AP21" s="11"/>
      <c r="AQ21" s="96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96"/>
      <c r="BC21" s="96"/>
      <c r="BD21" s="11"/>
      <c r="BE21" s="11">
        <f>(INDEX('Race 49'!$E$8:$E$200,(MATCH($B21,'Race 49'!$B$8:$B$200,0)),1))*100</f>
        <v>47.736282578108195</v>
      </c>
      <c r="BF21" s="11"/>
      <c r="BG21" s="11"/>
      <c r="BH21" s="11"/>
      <c r="BI21" s="11"/>
      <c r="BJ21" s="11"/>
      <c r="BK21" s="11"/>
      <c r="BL21" s="11">
        <f>(INDEX('Race 56'!$E$8:$E$200,(MATCH($B21,'Race 56'!$B$8:$B$200,0)),1))*100</f>
        <v>53.166720686117543</v>
      </c>
      <c r="BM21" s="11">
        <f>(INDEX('Race 57'!$E$8:$E$200,(MATCH($B21,'Race 57'!$B$8:$B$200,0)),1))*100</f>
        <v>50.472722929815774</v>
      </c>
      <c r="BN21" s="11"/>
      <c r="BO21" s="11"/>
      <c r="BP21" s="11"/>
      <c r="BQ21" s="11"/>
      <c r="BR21" s="11"/>
      <c r="BS21" s="11"/>
      <c r="BT21" s="11"/>
      <c r="BU21" s="11"/>
      <c r="BV21" s="11"/>
      <c r="BW21" s="96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96"/>
      <c r="CY21" s="96"/>
      <c r="CZ21" s="11"/>
      <c r="DA21" s="26">
        <f t="shared" si="1"/>
        <v>50.071588627540528</v>
      </c>
      <c r="DB21" s="42" t="str">
        <f t="shared" si="2"/>
        <v>Black, Bryn</v>
      </c>
      <c r="DC21" s="43">
        <f t="shared" si="3"/>
        <v>1</v>
      </c>
      <c r="DD21" s="62">
        <v>49.486533417014016</v>
      </c>
      <c r="DE21" s="62">
        <f t="shared" si="4"/>
        <v>49.200735607291477</v>
      </c>
      <c r="DF21" s="4">
        <f t="shared" si="11"/>
        <v>0</v>
      </c>
      <c r="DG21" s="4">
        <f t="shared" si="6"/>
        <v>2</v>
      </c>
      <c r="DH21" s="4">
        <f t="shared" si="7"/>
        <v>5</v>
      </c>
      <c r="DI21" s="4" t="str">
        <f t="shared" si="8"/>
        <v>WA</v>
      </c>
      <c r="DJ21" s="62">
        <f>IF(COUNT(I21:U21)&lt;5,DA21,SUMPRODUCT(LARGE(I21:U21,{1,2,3,4,5}))/5)</f>
        <v>50.071588627540528</v>
      </c>
      <c r="DK21" s="62">
        <f>IF(COUNT(I21:AN21)&lt;5,DA21,SUMPRODUCT(LARGE(I21:AN21,{1,2,3,4,5}))/5)</f>
        <v>50.071588627540528</v>
      </c>
      <c r="DL21" s="62">
        <f>IF(COUNT(J21:CZ21)&lt;5,AVERAGE(J21:CZ21),SUMPRODUCT(LARGE(J21:CZ21,{1,2,3,4,5}))/5)</f>
        <v>50.071588627540528</v>
      </c>
      <c r="DM21" s="62">
        <f t="shared" si="10"/>
        <v>49.200735607291477</v>
      </c>
      <c r="DN21" s="13" t="str">
        <f t="shared" si="9"/>
        <v>Black, Bryn</v>
      </c>
      <c r="DO21" s="7">
        <v>18</v>
      </c>
      <c r="DP21" s="18"/>
      <c r="DQ21" s="19"/>
      <c r="DR21" s="19"/>
      <c r="DS21" s="121"/>
      <c r="DT21" s="128"/>
      <c r="DU21" s="128"/>
      <c r="DV21" s="128"/>
      <c r="DW21" s="13"/>
      <c r="DX21" s="7"/>
      <c r="DY21" s="18"/>
      <c r="DZ21" s="19"/>
      <c r="EA21" s="19"/>
      <c r="EB21" s="121"/>
      <c r="EC21" s="128"/>
      <c r="ED21" s="128"/>
      <c r="EE21" s="128"/>
      <c r="EF21" s="13"/>
      <c r="EG21" s="13"/>
      <c r="EI21" s="152"/>
    </row>
    <row r="22" spans="1:139" x14ac:dyDescent="0.2">
      <c r="A22" s="7">
        <v>19</v>
      </c>
      <c r="B22" s="190" t="s">
        <v>47</v>
      </c>
      <c r="C22" s="19" t="s">
        <v>5</v>
      </c>
      <c r="D22" s="19" t="s">
        <v>43</v>
      </c>
      <c r="E22" s="10">
        <v>63.139000395507999</v>
      </c>
      <c r="F22" s="10">
        <v>64.00084554229889</v>
      </c>
      <c r="G22" s="9">
        <f t="shared" si="0"/>
        <v>9</v>
      </c>
      <c r="H22" s="93">
        <v>64.49093138187105</v>
      </c>
      <c r="I22" s="47">
        <f>(INDEX('Race 1'!$E$8:$E$200,(MATCH($B22,'Race 1'!$B$8:$B$200,0)),1))*100</f>
        <v>65.487420078384147</v>
      </c>
      <c r="J22" s="11"/>
      <c r="K22" s="11"/>
      <c r="L22" s="11"/>
      <c r="M22" s="11">
        <f>(INDEX('Race 5'!$E$8:$E$200,(MATCH($B22,'Race 5'!$B$8:$B$200,0)),1))*100</f>
        <v>60.790580712631851</v>
      </c>
      <c r="N22" s="11"/>
      <c r="O22" s="11"/>
      <c r="P22" s="11"/>
      <c r="Q22" s="11"/>
      <c r="R22" s="11"/>
      <c r="S22" s="96"/>
      <c r="T22" s="96"/>
      <c r="U22" s="297"/>
      <c r="V22" s="298"/>
      <c r="W22" s="11"/>
      <c r="X22" s="96"/>
      <c r="Y22" s="96"/>
      <c r="Z22" s="96"/>
      <c r="AA22" s="96"/>
      <c r="AB22" s="96"/>
      <c r="AC22" s="96"/>
      <c r="AD22" s="96"/>
      <c r="AE22" s="96"/>
      <c r="AF22" s="96"/>
      <c r="AG22" s="11"/>
      <c r="AH22" s="11"/>
      <c r="AI22" s="11"/>
      <c r="AJ22" s="11"/>
      <c r="AK22" s="11"/>
      <c r="AL22" s="11"/>
      <c r="AM22" s="11">
        <f>(INDEX('Race 31'!$E$8:$E$200,(MATCH($B22,'Race 31'!$B$8:$B$200,0)),1))*100</f>
        <v>65.229949653253485</v>
      </c>
      <c r="AN22" s="250">
        <f>(INDEX('Race 32'!$E$8:$E$200,(MATCH($B22,'Race 32'!$B$8:$B$200,0)),1))*100</f>
        <v>64.49543172492605</v>
      </c>
      <c r="AO22" s="25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96"/>
      <c r="BA22" s="11"/>
      <c r="BB22" s="11"/>
      <c r="BC22" s="96"/>
      <c r="BD22" s="11"/>
      <c r="BE22" s="96"/>
      <c r="BF22" s="11"/>
      <c r="BG22" s="11"/>
      <c r="BH22" s="11">
        <f>(INDEX('Race 52'!$E$8:$E$200,(MATCH($B22,'Race 52'!$B$8:$B$200,0)),1))*100</f>
        <v>64.710768224049204</v>
      </c>
      <c r="BI22" s="11">
        <f>(INDEX('Race 53'!$E$8:$E$200,(MATCH($B22,'Race 53'!$B$8:$B$200,0)),1))*100</f>
        <v>61.723918547159982</v>
      </c>
      <c r="BJ22" s="11"/>
      <c r="BK22" s="11"/>
      <c r="BL22" s="11"/>
      <c r="BM22" s="11"/>
      <c r="BN22" s="96"/>
      <c r="BO22" s="11"/>
      <c r="BP22" s="11">
        <f>(INDEX('Race 60'!$E$8:$E$200,(MATCH($B22,'Race 60'!$B$8:$B$200,0)),1))*100</f>
        <v>60.695589110094716</v>
      </c>
      <c r="BQ22" s="11"/>
      <c r="BR22" s="11">
        <f>(INDEX('Race 62'!$E$8:$E$200,(MATCH($B22,'Race 62'!$B$8:$B$200,0)),1))*100</f>
        <v>60.465880124242986</v>
      </c>
      <c r="BS22" s="11"/>
      <c r="BT22" s="11"/>
      <c r="BU22" s="11"/>
      <c r="BV22" s="11"/>
      <c r="BW22" s="96">
        <f>(INDEX('Race 67'!$E$8:$E$200,(MATCH($B22,'Race 67'!$B$8:$B$200,0)),1))*100</f>
        <v>78.026731351724209</v>
      </c>
      <c r="BX22" s="11"/>
      <c r="BY22" s="11"/>
      <c r="BZ22" s="11"/>
      <c r="CA22" s="11"/>
      <c r="CB22" s="11"/>
      <c r="CC22" s="11"/>
      <c r="CD22" s="11"/>
      <c r="CE22" s="11"/>
      <c r="CF22" s="11"/>
      <c r="CG22" s="96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96"/>
      <c r="CY22" s="96"/>
      <c r="CZ22" s="11"/>
      <c r="DA22" s="26">
        <f t="shared" si="1"/>
        <v>64.625141058496297</v>
      </c>
      <c r="DB22" s="42" t="str">
        <f t="shared" si="2"/>
        <v>Blanke, Barbara</v>
      </c>
      <c r="DC22" s="43">
        <f t="shared" si="3"/>
        <v>1</v>
      </c>
      <c r="DD22" s="62">
        <v>64.49093138187105</v>
      </c>
      <c r="DE22" s="62">
        <f t="shared" si="4"/>
        <v>65.674913923771825</v>
      </c>
      <c r="DF22" s="4">
        <f t="shared" si="11"/>
        <v>2</v>
      </c>
      <c r="DG22" s="4">
        <f t="shared" si="6"/>
        <v>4</v>
      </c>
      <c r="DH22" s="4">
        <f t="shared" si="7"/>
        <v>9</v>
      </c>
      <c r="DI22" s="4" t="str">
        <f t="shared" si="8"/>
        <v>UT</v>
      </c>
      <c r="DJ22" s="62">
        <f>IF(COUNT(I22:U22)&lt;5,DA22,SUMPRODUCT(LARGE(I22:U22,{1,2,3,4,5}))/5)</f>
        <v>64.625141058496297</v>
      </c>
      <c r="DK22" s="62">
        <f>IF(COUNT(I22:AN22)&lt;5,DA22,SUMPRODUCT(LARGE(I22:AN22,{1,2,3,4,5}))/5)</f>
        <v>64.625141058496297</v>
      </c>
      <c r="DL22" s="62">
        <f>IF(COUNT(J22:CZ22)&lt;5,AVERAGE(J22:CZ22),SUMPRODUCT(LARGE(J22:CZ22,{1,2,3,4,5}))/5)</f>
        <v>66.837359900222594</v>
      </c>
      <c r="DM22" s="62">
        <f t="shared" si="10"/>
        <v>65.674913923771825</v>
      </c>
      <c r="DN22" s="13" t="str">
        <f t="shared" si="9"/>
        <v>Blanke, Barbara</v>
      </c>
      <c r="DO22" s="7">
        <v>19</v>
      </c>
      <c r="DP22" s="18"/>
      <c r="DQ22" s="19"/>
      <c r="DR22" s="19"/>
      <c r="DS22" s="121"/>
      <c r="DT22" s="128"/>
      <c r="DU22" s="128"/>
      <c r="DV22" s="128"/>
      <c r="DW22" s="13"/>
      <c r="DX22" s="7"/>
      <c r="DY22" s="18"/>
      <c r="DZ22" s="19"/>
      <c r="EA22" s="19"/>
      <c r="EB22" s="121"/>
      <c r="EC22" s="128"/>
      <c r="ED22" s="128"/>
      <c r="EE22" s="128"/>
      <c r="EF22" s="13"/>
      <c r="EG22" s="13"/>
      <c r="EI22" s="152"/>
    </row>
    <row r="23" spans="1:139" x14ac:dyDescent="0.2">
      <c r="A23" s="7">
        <v>20</v>
      </c>
      <c r="B23" s="190" t="s">
        <v>364</v>
      </c>
      <c r="C23" s="19" t="s">
        <v>6</v>
      </c>
      <c r="D23" s="19" t="s">
        <v>35</v>
      </c>
      <c r="E23" s="10">
        <v>64.396145609308164</v>
      </c>
      <c r="F23" s="10">
        <v>63.975184384617123</v>
      </c>
      <c r="G23" s="9">
        <f t="shared" si="0"/>
        <v>5</v>
      </c>
      <c r="H23" s="93">
        <v>0</v>
      </c>
      <c r="I23" s="47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>
        <f>(INDEX('Race 12'!$E$8:$E$200,(MATCH($B23,'Race 12'!$B$8:$B$200,0)),1))*100</f>
        <v>64.396145609308164</v>
      </c>
      <c r="U23" s="297"/>
      <c r="V23" s="298"/>
      <c r="W23" s="11"/>
      <c r="X23" s="96"/>
      <c r="Y23" s="96"/>
      <c r="Z23" s="11">
        <f>(INDEX('Race 18'!$E$8:$E$200,(MATCH($B23,'Race 18'!$B$8:$B$200,0)),1))*100</f>
        <v>63.554223159926082</v>
      </c>
      <c r="AA23" s="96"/>
      <c r="AB23" s="96"/>
      <c r="AC23" s="11"/>
      <c r="AD23" s="11"/>
      <c r="AE23" s="110"/>
      <c r="AF23" s="110"/>
      <c r="AG23" s="11"/>
      <c r="AH23" s="11"/>
      <c r="AI23" s="11"/>
      <c r="AJ23" s="11"/>
      <c r="AK23" s="11"/>
      <c r="AL23" s="11"/>
      <c r="AM23" s="11"/>
      <c r="AN23" s="250"/>
      <c r="AO23" s="25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96"/>
      <c r="BA23" s="11"/>
      <c r="BB23" s="11"/>
      <c r="BC23" s="96"/>
      <c r="BD23" s="11"/>
      <c r="BE23" s="96"/>
      <c r="BF23" s="11"/>
      <c r="BG23" s="11"/>
      <c r="BH23" s="11"/>
      <c r="BI23" s="11"/>
      <c r="BJ23" s="11"/>
      <c r="BK23" s="11"/>
      <c r="BL23" s="11"/>
      <c r="BM23" s="11"/>
      <c r="BN23" s="96"/>
      <c r="BO23" s="11"/>
      <c r="BP23" s="11">
        <f>(INDEX('Race 60'!$E$8:$E$200,(MATCH($B23,'Race 60'!$B$8:$B$200,0)),1))*100</f>
        <v>58.965464696834303</v>
      </c>
      <c r="BQ23" s="11"/>
      <c r="BR23" s="11">
        <f>(INDEX('Race 62'!$E$8:$E$200,(MATCH($B23,'Race 62'!$B$8:$B$200,0)),1))*100</f>
        <v>63.329728325385837</v>
      </c>
      <c r="BS23" s="11"/>
      <c r="BT23" s="11"/>
      <c r="BU23" s="11"/>
      <c r="BV23" s="11"/>
      <c r="BW23" s="96"/>
      <c r="BX23" s="11">
        <f>(INDEX('Race 68'!$E$8:$E$200,(MATCH($B23,'Race 68'!$B$8:$B$200,0)),1))*100</f>
        <v>61.824757334298475</v>
      </c>
      <c r="BY23" s="11"/>
      <c r="BZ23" s="11"/>
      <c r="CA23" s="11"/>
      <c r="CB23" s="11"/>
      <c r="CC23" s="11"/>
      <c r="CD23" s="11"/>
      <c r="CE23" s="11"/>
      <c r="CF23" s="11"/>
      <c r="CG23" s="96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96"/>
      <c r="CY23" s="96"/>
      <c r="CZ23" s="11"/>
      <c r="DA23" s="26">
        <f t="shared" si="1"/>
        <v>62.414063825150571</v>
      </c>
      <c r="DB23" s="53" t="str">
        <f t="shared" si="2"/>
        <v>Bleakley, Skye</v>
      </c>
      <c r="DC23" s="68">
        <f t="shared" si="3"/>
        <v>1</v>
      </c>
      <c r="DD23" s="62">
        <v>66.367715995604314</v>
      </c>
      <c r="DE23" s="209">
        <f t="shared" si="4"/>
        <v>61.328548516410116</v>
      </c>
      <c r="DF23" s="115">
        <f t="shared" si="11"/>
        <v>1</v>
      </c>
      <c r="DG23" s="4">
        <f t="shared" si="6"/>
        <v>2</v>
      </c>
      <c r="DH23" s="115">
        <f t="shared" si="7"/>
        <v>5</v>
      </c>
      <c r="DI23" s="115" t="str">
        <f t="shared" si="8"/>
        <v>WY</v>
      </c>
      <c r="DJ23" s="62">
        <f>IF(COUNT(I23:U23)&lt;5,DA23,SUMPRODUCT(LARGE(I23:U23,{1,2,3,4,5}))/5)</f>
        <v>62.414063825150571</v>
      </c>
      <c r="DK23" s="62">
        <f>IF(COUNT(I23:AN23)&lt;5,DA23,SUMPRODUCT(LARGE(I23:AN23,{1,2,3,4,5}))/5)</f>
        <v>62.414063825150571</v>
      </c>
      <c r="DL23" s="209">
        <f>IF(COUNT(J23:CZ23)&lt;5,AVERAGE(J23:CZ23),SUMPRODUCT(LARGE(J23:CZ23,{1,2,3,4,5}))/5)</f>
        <v>62.414063825150571</v>
      </c>
      <c r="DM23" s="62">
        <f t="shared" si="10"/>
        <v>61.328548516410116</v>
      </c>
      <c r="DN23" s="13" t="str">
        <f t="shared" si="9"/>
        <v>Bleakley, Skye</v>
      </c>
      <c r="DO23" s="7">
        <v>20</v>
      </c>
      <c r="DP23" s="103"/>
      <c r="DQ23" s="19"/>
      <c r="DR23" s="19"/>
      <c r="DS23" s="121"/>
      <c r="DT23" s="128"/>
      <c r="DU23" s="128"/>
      <c r="DV23" s="128"/>
      <c r="DW23" s="13"/>
      <c r="DX23" s="7"/>
      <c r="DY23" s="18"/>
      <c r="DZ23" s="19"/>
      <c r="EA23" s="19"/>
      <c r="EB23" s="121"/>
      <c r="EC23" s="128"/>
      <c r="ED23" s="128"/>
      <c r="EE23" s="128"/>
      <c r="EF23" s="13"/>
      <c r="EG23" s="13"/>
      <c r="EI23" s="152"/>
    </row>
    <row r="24" spans="1:139" x14ac:dyDescent="0.2">
      <c r="A24" s="7">
        <v>21</v>
      </c>
      <c r="B24" s="190" t="s">
        <v>278</v>
      </c>
      <c r="C24" s="19" t="s">
        <v>5</v>
      </c>
      <c r="D24" s="19" t="s">
        <v>41</v>
      </c>
      <c r="E24" s="10">
        <v>35.051243138168495</v>
      </c>
      <c r="F24" s="10">
        <v>42.929356037954044</v>
      </c>
      <c r="G24" s="9">
        <f t="shared" si="0"/>
        <v>2</v>
      </c>
      <c r="H24" s="93">
        <v>35.051243138168495</v>
      </c>
      <c r="I24" s="47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96"/>
      <c r="U24" s="297"/>
      <c r="V24" s="298"/>
      <c r="W24" s="11"/>
      <c r="X24" s="96"/>
      <c r="Y24" s="96"/>
      <c r="Z24" s="96"/>
      <c r="AA24" s="96"/>
      <c r="AB24" s="96"/>
      <c r="AC24" s="96"/>
      <c r="AD24" s="96"/>
      <c r="AE24" s="110"/>
      <c r="AF24" s="110"/>
      <c r="AG24" s="11"/>
      <c r="AH24" s="11"/>
      <c r="AI24" s="11"/>
      <c r="AJ24" s="11"/>
      <c r="AK24" s="11"/>
      <c r="AL24" s="11"/>
      <c r="AM24" s="11">
        <f>(INDEX('Race 31'!$E$8:$E$200,(MATCH($B24,'Race 31'!$B$8:$B$200,0)),1))*100</f>
        <v>40.221450311616309</v>
      </c>
      <c r="AN24" s="250">
        <f>(INDEX('Race 32'!$E$8:$E$200,(MATCH($B24,'Race 32'!$B$8:$B$200,0)),1))*100</f>
        <v>45.637261764291779</v>
      </c>
      <c r="AO24" s="25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96"/>
      <c r="BA24" s="11"/>
      <c r="BB24" s="11"/>
      <c r="BC24" s="96"/>
      <c r="BD24" s="11"/>
      <c r="BE24" s="96"/>
      <c r="BF24" s="11"/>
      <c r="BG24" s="11"/>
      <c r="BH24" s="11"/>
      <c r="BI24" s="11"/>
      <c r="BJ24" s="11"/>
      <c r="BK24" s="11"/>
      <c r="BL24" s="11"/>
      <c r="BM24" s="11"/>
      <c r="BN24" s="96"/>
      <c r="BO24" s="11"/>
      <c r="BP24" s="11"/>
      <c r="BQ24" s="11"/>
      <c r="BR24" s="11"/>
      <c r="BS24" s="11"/>
      <c r="BT24" s="11"/>
      <c r="BU24" s="11"/>
      <c r="BV24" s="11"/>
      <c r="BW24" s="96"/>
      <c r="BX24" s="11"/>
      <c r="BY24" s="11"/>
      <c r="BZ24" s="11"/>
      <c r="CA24" s="11"/>
      <c r="CB24" s="11"/>
      <c r="CC24" s="11"/>
      <c r="CD24" s="11"/>
      <c r="CE24" s="11"/>
      <c r="CF24" s="11"/>
      <c r="CG24" s="96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96"/>
      <c r="CY24" s="96"/>
      <c r="CZ24" s="11"/>
      <c r="DA24" s="26">
        <f t="shared" si="1"/>
        <v>42.929356037954044</v>
      </c>
      <c r="DB24" s="42" t="str">
        <f t="shared" si="2"/>
        <v>BOGDEN, Michelle</v>
      </c>
      <c r="DC24" s="43">
        <f t="shared" si="3"/>
        <v>1</v>
      </c>
      <c r="DD24" s="62">
        <v>35.051243138168495</v>
      </c>
      <c r="DE24" s="62">
        <f t="shared" si="4"/>
        <v>42.182721861014095</v>
      </c>
      <c r="DF24" s="4">
        <f t="shared" si="11"/>
        <v>0</v>
      </c>
      <c r="DG24" s="4">
        <f t="shared" si="6"/>
        <v>2</v>
      </c>
      <c r="DH24" s="4">
        <f t="shared" si="7"/>
        <v>2</v>
      </c>
      <c r="DI24" s="4" t="str">
        <f t="shared" si="8"/>
        <v>MT</v>
      </c>
      <c r="DJ24" s="62">
        <f>IF(COUNT(I24:U24)&lt;5,DA24,SUMPRODUCT(LARGE(I24:U24,{1,2,3,4,5}))/5)</f>
        <v>42.929356037954044</v>
      </c>
      <c r="DK24" s="62">
        <f>IF(COUNT(I24:AN24)&lt;5,DA24,SUMPRODUCT(LARGE(I24:AN24,{1,2,3,4,5}))/5)</f>
        <v>42.929356037954044</v>
      </c>
      <c r="DL24" s="62">
        <f>IF(COUNT(J24:CZ24)&lt;5,AVERAGE(J24:CZ24),SUMPRODUCT(LARGE(J24:CZ24,{1,2,3,4,5}))/5)</f>
        <v>42.929356037954044</v>
      </c>
      <c r="DM24" s="62">
        <f t="shared" si="10"/>
        <v>42.182721861014095</v>
      </c>
      <c r="DN24" s="13" t="str">
        <f t="shared" si="9"/>
        <v>BOGDEN, Michelle</v>
      </c>
      <c r="DO24" s="7">
        <v>21</v>
      </c>
      <c r="DP24" s="18"/>
      <c r="DQ24" s="19"/>
      <c r="DR24" s="19"/>
      <c r="DS24" s="121"/>
      <c r="DT24" s="128"/>
      <c r="DU24" s="128"/>
      <c r="DV24" s="128"/>
      <c r="DW24" s="13"/>
      <c r="DX24" s="7"/>
      <c r="DY24" s="18"/>
      <c r="DZ24" s="19"/>
      <c r="EA24" s="19"/>
      <c r="EB24" s="121"/>
      <c r="EC24" s="128"/>
      <c r="ED24" s="128"/>
      <c r="EE24" s="128"/>
      <c r="EF24" s="13"/>
      <c r="EG24" s="13"/>
      <c r="EI24" s="152"/>
    </row>
    <row r="25" spans="1:139" x14ac:dyDescent="0.2">
      <c r="A25" s="7">
        <v>22</v>
      </c>
      <c r="B25" s="190" t="s">
        <v>353</v>
      </c>
      <c r="C25" s="19" t="s">
        <v>6</v>
      </c>
      <c r="D25" s="19" t="s">
        <v>31</v>
      </c>
      <c r="E25" s="10">
        <v>65.905105652003328</v>
      </c>
      <c r="F25" s="10">
        <v>65.214085242213457</v>
      </c>
      <c r="G25" s="9">
        <f t="shared" si="0"/>
        <v>4</v>
      </c>
      <c r="H25" s="93">
        <v>0</v>
      </c>
      <c r="I25" s="47"/>
      <c r="J25" s="11"/>
      <c r="K25" s="11"/>
      <c r="L25" s="11"/>
      <c r="M25" s="11"/>
      <c r="N25" s="11"/>
      <c r="O25" s="11"/>
      <c r="P25" s="11"/>
      <c r="Q25" s="11"/>
      <c r="R25" s="11"/>
      <c r="S25" s="11">
        <f>(INDEX('Race 11'!$E$8:$E$200,(MATCH($B25,'Race 11'!$B$8:$B$200,0)),1))*100</f>
        <v>68.969240492110757</v>
      </c>
      <c r="T25" s="11">
        <f>(INDEX('Race 12'!$E$8:$E$200,(MATCH($B25,'Race 12'!$B$8:$B$200,0)),1))*100</f>
        <v>64.216268107606197</v>
      </c>
      <c r="U25" s="297">
        <f>(INDEX('Race 13'!$E$8:$E$200,(MATCH($B25,'Race 13'!$B$8:$B$200,0)),1))*100</f>
        <v>64.529808356293017</v>
      </c>
      <c r="V25" s="298"/>
      <c r="W25" s="11"/>
      <c r="X25" s="96"/>
      <c r="Y25" s="96"/>
      <c r="Z25" s="96"/>
      <c r="AA25" s="96"/>
      <c r="AB25" s="96"/>
      <c r="AC25" s="96"/>
      <c r="AD25" s="11">
        <f>(INDEX('Race 22'!$E$8:$E$200,(MATCH($B25,'Race 22'!$B$8:$B$200,0)),1))*100</f>
        <v>63.141024012843836</v>
      </c>
      <c r="AE25" s="11"/>
      <c r="AF25" s="96"/>
      <c r="AG25" s="11"/>
      <c r="AH25" s="11"/>
      <c r="AI25" s="11"/>
      <c r="AJ25" s="11"/>
      <c r="AK25" s="11"/>
      <c r="AL25" s="11"/>
      <c r="AM25" s="11"/>
      <c r="AN25" s="250"/>
      <c r="AO25" s="25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96"/>
      <c r="BA25" s="11"/>
      <c r="BB25" s="11"/>
      <c r="BC25" s="96"/>
      <c r="BD25" s="11"/>
      <c r="BE25" s="96"/>
      <c r="BF25" s="11"/>
      <c r="BG25" s="11"/>
      <c r="BH25" s="11"/>
      <c r="BI25" s="11"/>
      <c r="BJ25" s="11"/>
      <c r="BK25" s="11"/>
      <c r="BL25" s="11"/>
      <c r="BM25" s="11"/>
      <c r="BN25" s="96"/>
      <c r="BO25" s="11"/>
      <c r="BP25" s="11"/>
      <c r="BQ25" s="11"/>
      <c r="BR25" s="11"/>
      <c r="BS25" s="11"/>
      <c r="BT25" s="11"/>
      <c r="BU25" s="11"/>
      <c r="BV25" s="11"/>
      <c r="BW25" s="96"/>
      <c r="BX25" s="11"/>
      <c r="BY25" s="11"/>
      <c r="BZ25" s="11"/>
      <c r="CA25" s="11"/>
      <c r="CB25" s="11"/>
      <c r="CC25" s="11"/>
      <c r="CD25" s="11"/>
      <c r="CE25" s="11"/>
      <c r="CF25" s="11"/>
      <c r="CG25" s="96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96"/>
      <c r="CY25" s="96"/>
      <c r="CZ25" s="11"/>
      <c r="DA25" s="26">
        <f t="shared" si="1"/>
        <v>65.214085242213457</v>
      </c>
      <c r="DB25" s="53" t="str">
        <f t="shared" si="2"/>
        <v>Bosek, Kaisa</v>
      </c>
      <c r="DC25" s="68">
        <f t="shared" si="3"/>
        <v>1</v>
      </c>
      <c r="DD25" s="62">
        <v>66.367715995604314</v>
      </c>
      <c r="DE25" s="209">
        <f t="shared" si="4"/>
        <v>64.079871516373643</v>
      </c>
      <c r="DF25" s="115">
        <f t="shared" si="11"/>
        <v>3</v>
      </c>
      <c r="DG25" s="4">
        <f t="shared" si="6"/>
        <v>4</v>
      </c>
      <c r="DH25" s="115">
        <f t="shared" si="7"/>
        <v>4</v>
      </c>
      <c r="DI25" s="115" t="str">
        <f t="shared" si="8"/>
        <v>MN</v>
      </c>
      <c r="DJ25" s="62">
        <f>IF(COUNT(I25:U25)&lt;5,DA25,SUMPRODUCT(LARGE(I25:U25,{1,2,3,4,5}))/5)</f>
        <v>65.214085242213457</v>
      </c>
      <c r="DK25" s="62">
        <f>IF(COUNT(I25:AN25)&lt;5,DA25,SUMPRODUCT(LARGE(I25:AN25,{1,2,3,4,5}))/5)</f>
        <v>65.214085242213457</v>
      </c>
      <c r="DL25" s="209">
        <f>IF(COUNT(J25:CZ25)&lt;5,AVERAGE(J25:CZ25),SUMPRODUCT(LARGE(J25:CZ25,{1,2,3,4,5}))/5)</f>
        <v>65.214085242213457</v>
      </c>
      <c r="DM25" s="62">
        <f t="shared" si="10"/>
        <v>64.079871516373643</v>
      </c>
      <c r="DN25" s="13" t="str">
        <f t="shared" si="9"/>
        <v>Bosek, Kaisa</v>
      </c>
      <c r="DO25" s="7">
        <v>22</v>
      </c>
      <c r="DP25" s="103"/>
      <c r="DQ25" s="19"/>
      <c r="DR25" s="19"/>
      <c r="DS25" s="139"/>
      <c r="DT25" s="15"/>
      <c r="DU25" s="128"/>
      <c r="DV25" s="128"/>
      <c r="DW25" s="13"/>
      <c r="DX25" s="7"/>
      <c r="DY25" s="103"/>
      <c r="DZ25" s="19"/>
      <c r="EA25" s="19"/>
      <c r="EB25" s="121"/>
      <c r="EC25" s="128"/>
      <c r="ED25" s="128"/>
      <c r="EE25" s="128"/>
      <c r="EF25" s="13"/>
      <c r="EG25" s="13"/>
      <c r="EI25" s="152"/>
    </row>
    <row r="26" spans="1:139" x14ac:dyDescent="0.2">
      <c r="A26" s="7">
        <v>23</v>
      </c>
      <c r="B26" s="190" t="s">
        <v>355</v>
      </c>
      <c r="C26" s="19" t="s">
        <v>6</v>
      </c>
      <c r="D26" s="19" t="s">
        <v>31</v>
      </c>
      <c r="E26" s="10">
        <v>59.55347714690572</v>
      </c>
      <c r="F26" s="10">
        <v>59.55347714690572</v>
      </c>
      <c r="G26" s="9">
        <f t="shared" si="0"/>
        <v>3</v>
      </c>
      <c r="H26" s="93">
        <v>0</v>
      </c>
      <c r="I26" s="47"/>
      <c r="J26" s="11"/>
      <c r="K26" s="11"/>
      <c r="L26" s="11"/>
      <c r="M26" s="11"/>
      <c r="N26" s="11"/>
      <c r="O26" s="11"/>
      <c r="P26" s="11"/>
      <c r="Q26" s="11"/>
      <c r="R26" s="11"/>
      <c r="S26" s="11">
        <f>(INDEX('Race 11'!$E$8:$E$200,(MATCH($B26,'Race 11'!$B$8:$B$200,0)),1))*100</f>
        <v>56.484620266866848</v>
      </c>
      <c r="T26" s="11">
        <f>(INDEX('Race 12'!$E$8:$E$200,(MATCH($B26,'Race 12'!$B$8:$B$200,0)),1))*100</f>
        <v>63.506696084317717</v>
      </c>
      <c r="U26" s="297">
        <f>(INDEX('Race 13'!$E$8:$E$200,(MATCH($B26,'Race 13'!$B$8:$B$200,0)),1))*100</f>
        <v>58.66911508953261</v>
      </c>
      <c r="V26" s="298"/>
      <c r="W26" s="11"/>
      <c r="X26" s="96"/>
      <c r="Y26" s="96"/>
      <c r="Z26" s="96"/>
      <c r="AA26" s="96"/>
      <c r="AB26" s="96"/>
      <c r="AC26" s="96"/>
      <c r="AD26" s="96"/>
      <c r="AE26" s="96"/>
      <c r="AF26" s="110"/>
      <c r="AG26" s="11"/>
      <c r="AH26" s="11"/>
      <c r="AI26" s="11"/>
      <c r="AJ26" s="11"/>
      <c r="AK26" s="11"/>
      <c r="AL26" s="11"/>
      <c r="AM26" s="11"/>
      <c r="AN26" s="250"/>
      <c r="AO26" s="25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96"/>
      <c r="BA26" s="11"/>
      <c r="BB26" s="11"/>
      <c r="BC26" s="96"/>
      <c r="BD26" s="11"/>
      <c r="BE26" s="96"/>
      <c r="BF26" s="11"/>
      <c r="BG26" s="11"/>
      <c r="BH26" s="11"/>
      <c r="BI26" s="11"/>
      <c r="BJ26" s="11"/>
      <c r="BK26" s="11"/>
      <c r="BL26" s="11"/>
      <c r="BM26" s="11"/>
      <c r="BN26" s="96"/>
      <c r="BO26" s="11"/>
      <c r="BP26" s="11"/>
      <c r="BQ26" s="11"/>
      <c r="BR26" s="11"/>
      <c r="BS26" s="11"/>
      <c r="BT26" s="11"/>
      <c r="BU26" s="11"/>
      <c r="BV26" s="11"/>
      <c r="BW26" s="96"/>
      <c r="BX26" s="11"/>
      <c r="BY26" s="11"/>
      <c r="BZ26" s="11"/>
      <c r="CA26" s="11"/>
      <c r="CB26" s="11"/>
      <c r="CC26" s="11"/>
      <c r="CD26" s="11"/>
      <c r="CE26" s="11"/>
      <c r="CF26" s="11"/>
      <c r="CG26" s="96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96"/>
      <c r="CY26" s="96"/>
      <c r="CZ26" s="11"/>
      <c r="DA26" s="26">
        <f t="shared" si="1"/>
        <v>59.55347714690572</v>
      </c>
      <c r="DB26" s="53" t="str">
        <f t="shared" si="2"/>
        <v>Bouley, Cheresa</v>
      </c>
      <c r="DC26" s="68">
        <f t="shared" si="3"/>
        <v>1</v>
      </c>
      <c r="DD26" s="62">
        <v>66.367715995604314</v>
      </c>
      <c r="DE26" s="209">
        <f t="shared" si="4"/>
        <v>58.517713615904213</v>
      </c>
      <c r="DF26" s="115">
        <f t="shared" si="11"/>
        <v>3</v>
      </c>
      <c r="DG26" s="4">
        <f t="shared" si="6"/>
        <v>3</v>
      </c>
      <c r="DH26" s="115">
        <f t="shared" si="7"/>
        <v>3</v>
      </c>
      <c r="DI26" s="115" t="str">
        <f t="shared" si="8"/>
        <v>MN</v>
      </c>
      <c r="DJ26" s="62">
        <f>IF(COUNT(I26:U26)&lt;5,DA26,SUMPRODUCT(LARGE(I26:U26,{1,2,3,4,5}))/5)</f>
        <v>59.55347714690572</v>
      </c>
      <c r="DK26" s="62">
        <f>IF(COUNT(I26:AN26)&lt;5,DA26,SUMPRODUCT(LARGE(I26:AN26,{1,2,3,4,5}))/5)</f>
        <v>59.55347714690572</v>
      </c>
      <c r="DL26" s="209">
        <f>IF(COUNT(J26:CZ26)&lt;5,AVERAGE(J26:CZ26),SUMPRODUCT(LARGE(J26:CZ26,{1,2,3,4,5}))/5)</f>
        <v>59.55347714690572</v>
      </c>
      <c r="DM26" s="62">
        <f t="shared" si="10"/>
        <v>58.517713615904213</v>
      </c>
      <c r="DN26" s="13" t="str">
        <f t="shared" si="9"/>
        <v>Bouley, Cheresa</v>
      </c>
      <c r="DO26" s="7">
        <v>23</v>
      </c>
      <c r="DP26" s="103"/>
      <c r="DQ26" s="19"/>
      <c r="DR26" s="19"/>
      <c r="DS26" s="139"/>
      <c r="DT26" s="15"/>
      <c r="DU26" s="128"/>
      <c r="DV26" s="128"/>
      <c r="DW26" s="13"/>
      <c r="DX26" s="7"/>
      <c r="DY26" s="18"/>
      <c r="DZ26" s="19"/>
      <c r="EA26" s="19"/>
      <c r="EB26" s="121"/>
      <c r="EC26" s="128"/>
      <c r="ED26" s="128"/>
      <c r="EE26" s="128"/>
      <c r="EF26" s="13"/>
      <c r="EG26" s="13"/>
      <c r="EI26" s="152"/>
    </row>
    <row r="27" spans="1:139" x14ac:dyDescent="0.2">
      <c r="A27" s="7">
        <v>24</v>
      </c>
      <c r="B27" s="190" t="s">
        <v>288</v>
      </c>
      <c r="C27" s="19" t="s">
        <v>5</v>
      </c>
      <c r="D27" s="19" t="s">
        <v>33</v>
      </c>
      <c r="E27" s="10">
        <v>38.75071962622004</v>
      </c>
      <c r="F27" s="10">
        <v>39.746066949019038</v>
      </c>
      <c r="G27" s="9">
        <f t="shared" si="0"/>
        <v>2</v>
      </c>
      <c r="H27" s="93">
        <v>38.75071962622004</v>
      </c>
      <c r="I27" s="46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96"/>
      <c r="U27" s="297"/>
      <c r="V27" s="298"/>
      <c r="W27" s="11"/>
      <c r="X27" s="96"/>
      <c r="Y27" s="96"/>
      <c r="Z27" s="96"/>
      <c r="AA27" s="96"/>
      <c r="AB27" s="96"/>
      <c r="AC27" s="96"/>
      <c r="AD27" s="96"/>
      <c r="AE27" s="96"/>
      <c r="AF27" s="96"/>
      <c r="AG27" s="11"/>
      <c r="AH27" s="11"/>
      <c r="AI27" s="11"/>
      <c r="AJ27" s="11"/>
      <c r="AK27" s="11"/>
      <c r="AL27" s="11"/>
      <c r="AM27" s="11">
        <f>(INDEX('Race 31'!$E$8:$E$200,(MATCH($B27,'Race 31'!$B$8:$B$200,0)),1))*100</f>
        <v>37.288899566080488</v>
      </c>
      <c r="AN27" s="250">
        <f>(INDEX('Race 32'!$E$8:$E$200,(MATCH($B27,'Race 32'!$B$8:$B$200,0)),1))*100</f>
        <v>42.203234331957596</v>
      </c>
      <c r="AO27" s="251"/>
      <c r="AP27" s="11"/>
      <c r="AQ27" s="11"/>
      <c r="AR27" s="11"/>
      <c r="AS27" s="11"/>
      <c r="AT27" s="96"/>
      <c r="AU27" s="11"/>
      <c r="AV27" s="11"/>
      <c r="AW27" s="11"/>
      <c r="AX27" s="11"/>
      <c r="AY27" s="11"/>
      <c r="AZ27" s="96"/>
      <c r="BA27" s="11"/>
      <c r="BB27" s="11"/>
      <c r="BC27" s="96"/>
      <c r="BD27" s="11"/>
      <c r="BE27" s="96"/>
      <c r="BF27" s="11"/>
      <c r="BG27" s="11"/>
      <c r="BH27" s="11"/>
      <c r="BI27" s="11"/>
      <c r="BJ27" s="11"/>
      <c r="BK27" s="11"/>
      <c r="BL27" s="11"/>
      <c r="BM27" s="11"/>
      <c r="BN27" s="96"/>
      <c r="BO27" s="11"/>
      <c r="BP27" s="11"/>
      <c r="BQ27" s="11"/>
      <c r="BR27" s="11"/>
      <c r="BS27" s="11"/>
      <c r="BT27" s="11"/>
      <c r="BU27" s="11"/>
      <c r="BV27" s="11"/>
      <c r="BW27" s="96"/>
      <c r="BX27" s="11"/>
      <c r="BY27" s="11"/>
      <c r="BZ27" s="11"/>
      <c r="CA27" s="11"/>
      <c r="CB27" s="11"/>
      <c r="CC27" s="11"/>
      <c r="CD27" s="11"/>
      <c r="CE27" s="11"/>
      <c r="CF27" s="11"/>
      <c r="CG27" s="96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96"/>
      <c r="CY27" s="96"/>
      <c r="CZ27" s="11"/>
      <c r="DA27" s="26">
        <f t="shared" si="1"/>
        <v>39.746066949019038</v>
      </c>
      <c r="DB27" s="53" t="str">
        <f t="shared" si="2"/>
        <v>Boynton, Elizabeth</v>
      </c>
      <c r="DC27" s="68">
        <f t="shared" si="3"/>
        <v>1</v>
      </c>
      <c r="DD27" s="62">
        <v>38.75071962622004</v>
      </c>
      <c r="DE27" s="209">
        <f t="shared" si="4"/>
        <v>39.0547970413865</v>
      </c>
      <c r="DF27" s="115">
        <f t="shared" si="11"/>
        <v>0</v>
      </c>
      <c r="DG27" s="4">
        <f t="shared" si="6"/>
        <v>2</v>
      </c>
      <c r="DH27" s="115">
        <f t="shared" si="7"/>
        <v>2</v>
      </c>
      <c r="DI27" s="115" t="str">
        <f t="shared" si="8"/>
        <v>ME</v>
      </c>
      <c r="DJ27" s="62">
        <f>IF(COUNT(I27:U27)&lt;5,DA27,SUMPRODUCT(LARGE(I27:U27,{1,2,3,4,5}))/5)</f>
        <v>39.746066949019038</v>
      </c>
      <c r="DK27" s="62">
        <f>IF(COUNT(I27:AN27)&lt;5,DA27,SUMPRODUCT(LARGE(I27:AN27,{1,2,3,4,5}))/5)</f>
        <v>39.746066949019038</v>
      </c>
      <c r="DL27" s="209">
        <f>IF(COUNT(J27:CZ27)&lt;5,AVERAGE(J27:CZ27),SUMPRODUCT(LARGE(J27:CZ27,{1,2,3,4,5}))/5)</f>
        <v>39.746066949019038</v>
      </c>
      <c r="DM27" s="62">
        <f t="shared" si="10"/>
        <v>39.0547970413865</v>
      </c>
      <c r="DN27" s="13" t="str">
        <f t="shared" si="9"/>
        <v>Boynton, Elizabeth</v>
      </c>
      <c r="DO27" s="7">
        <v>24</v>
      </c>
      <c r="DP27" s="103"/>
      <c r="DQ27" s="19"/>
      <c r="DR27" s="19"/>
      <c r="DS27" s="121"/>
      <c r="DT27" s="128"/>
      <c r="DU27" s="128"/>
      <c r="DV27" s="128"/>
      <c r="DW27" s="13"/>
      <c r="DX27" s="7"/>
      <c r="DY27" s="103"/>
      <c r="DZ27" s="19"/>
      <c r="EA27" s="19"/>
      <c r="EB27" s="121"/>
      <c r="EC27" s="128"/>
      <c r="ED27" s="128"/>
      <c r="EE27" s="128"/>
      <c r="EF27" s="13"/>
      <c r="EG27" s="13"/>
      <c r="EI27" s="152"/>
    </row>
    <row r="28" spans="1:139" x14ac:dyDescent="0.2">
      <c r="A28" s="7">
        <v>25</v>
      </c>
      <c r="B28" s="119" t="s">
        <v>396</v>
      </c>
      <c r="C28" s="9" t="s">
        <v>5</v>
      </c>
      <c r="D28" s="9" t="s">
        <v>34</v>
      </c>
      <c r="E28" s="10">
        <v>0</v>
      </c>
      <c r="F28" s="10">
        <v>42.33163339854169</v>
      </c>
      <c r="G28" s="9">
        <f t="shared" si="0"/>
        <v>3</v>
      </c>
      <c r="H28" s="93">
        <v>0</v>
      </c>
      <c r="I28" s="47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96"/>
      <c r="U28" s="297"/>
      <c r="V28" s="298"/>
      <c r="W28" s="11"/>
      <c r="X28" s="96"/>
      <c r="Y28" s="96"/>
      <c r="Z28" s="96"/>
      <c r="AA28" s="96"/>
      <c r="AB28" s="96"/>
      <c r="AC28" s="96"/>
      <c r="AD28" s="96"/>
      <c r="AE28" s="96"/>
      <c r="AF28" s="110"/>
      <c r="AG28" s="11"/>
      <c r="AH28" s="11"/>
      <c r="AI28" s="11"/>
      <c r="AJ28" s="11"/>
      <c r="AK28" s="11">
        <f>(INDEX('Race 29'!$E$8:$E$200,(MATCH($B28,'Race 29'!$B$8:$B$200,0)),1))*100</f>
        <v>42.125741792391878</v>
      </c>
      <c r="AL28" s="11">
        <f>(INDEX('Race 30'!$E$8:$E$200,(MATCH($B28,'Race 30'!$B$8:$B$200,0)),1))*100</f>
        <v>43.691481074631625</v>
      </c>
      <c r="AM28" s="11"/>
      <c r="AN28" s="250"/>
      <c r="AO28" s="251">
        <f>(INDEX('Race 33'!$E$8:$E$200,(MATCH($B28,'Race 33'!$B$8:$B$200,0)),1))*100</f>
        <v>41.427572751239666</v>
      </c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96"/>
      <c r="BA28" s="11"/>
      <c r="BB28" s="11"/>
      <c r="BC28" s="96"/>
      <c r="BD28" s="11"/>
      <c r="BE28" s="96"/>
      <c r="BF28" s="11"/>
      <c r="BG28" s="11"/>
      <c r="BH28" s="11"/>
      <c r="BI28" s="11"/>
      <c r="BJ28" s="11"/>
      <c r="BK28" s="11"/>
      <c r="BL28" s="11"/>
      <c r="BM28" s="11"/>
      <c r="BN28" s="96"/>
      <c r="BO28" s="11"/>
      <c r="BP28" s="11"/>
      <c r="BQ28" s="11"/>
      <c r="BR28" s="11"/>
      <c r="BS28" s="11"/>
      <c r="BT28" s="11"/>
      <c r="BU28" s="11"/>
      <c r="BV28" s="11"/>
      <c r="BW28" s="96"/>
      <c r="BX28" s="11"/>
      <c r="BY28" s="11"/>
      <c r="BZ28" s="11"/>
      <c r="CA28" s="11"/>
      <c r="CB28" s="11"/>
      <c r="CC28" s="11"/>
      <c r="CD28" s="11"/>
      <c r="CE28" s="11"/>
      <c r="CF28" s="11"/>
      <c r="CG28" s="96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96"/>
      <c r="CY28" s="96"/>
      <c r="CZ28" s="11"/>
      <c r="DA28" s="26">
        <f t="shared" si="1"/>
        <v>42.414931872754387</v>
      </c>
      <c r="DB28" s="53" t="str">
        <f t="shared" si="2"/>
        <v>Bridgeman, Stina</v>
      </c>
      <c r="DC28" s="68">
        <f t="shared" si="3"/>
        <v>1</v>
      </c>
      <c r="DD28" s="62">
        <v>66.367715995604314</v>
      </c>
      <c r="DE28" s="209">
        <f t="shared" si="4"/>
        <v>41.67724464258071</v>
      </c>
      <c r="DF28" s="115">
        <f t="shared" si="11"/>
        <v>0</v>
      </c>
      <c r="DG28" s="4">
        <f t="shared" si="6"/>
        <v>3</v>
      </c>
      <c r="DH28" s="115">
        <f t="shared" si="7"/>
        <v>3</v>
      </c>
      <c r="DI28" s="115" t="str">
        <f t="shared" si="8"/>
        <v>NY</v>
      </c>
      <c r="DJ28" s="62">
        <f>IF(COUNT(I28:U28)&lt;5,DA28,SUMPRODUCT(LARGE(I28:U28,{1,2,3,4,5}))/5)</f>
        <v>42.414931872754387</v>
      </c>
      <c r="DK28" s="62">
        <f>IF(COUNT(I28:AN28)&lt;5,DA28,SUMPRODUCT(LARGE(I28:AN28,{1,2,3,4,5}))/5)</f>
        <v>42.414931872754387</v>
      </c>
      <c r="DL28" s="209">
        <f>IF(COUNT(J28:CZ28)&lt;5,AVERAGE(J28:CZ28),SUMPRODUCT(LARGE(J28:CZ28,{1,2,3,4,5}))/5)</f>
        <v>42.414931872754387</v>
      </c>
      <c r="DM28" s="62">
        <f t="shared" si="10"/>
        <v>41.67724464258071</v>
      </c>
      <c r="DN28" s="13" t="str">
        <f t="shared" si="9"/>
        <v>Bridgeman, Stina</v>
      </c>
      <c r="DO28" s="7">
        <v>25</v>
      </c>
      <c r="DP28" s="18"/>
      <c r="DQ28" s="19"/>
      <c r="DR28" s="19"/>
      <c r="DS28" s="121"/>
      <c r="DT28" s="128"/>
      <c r="DU28" s="128"/>
      <c r="DV28" s="128"/>
      <c r="DW28" s="13"/>
      <c r="DX28" s="7"/>
      <c r="DY28" s="18"/>
      <c r="DZ28" s="19"/>
      <c r="EA28" s="19"/>
      <c r="EB28" s="121"/>
      <c r="EC28" s="128"/>
      <c r="ED28" s="128"/>
      <c r="EE28" s="128"/>
      <c r="EF28" s="13"/>
      <c r="EG28" s="13"/>
      <c r="EI28" s="152"/>
    </row>
    <row r="29" spans="1:139" x14ac:dyDescent="0.2">
      <c r="A29" s="7">
        <v>26</v>
      </c>
      <c r="B29" s="119" t="s">
        <v>250</v>
      </c>
      <c r="C29" s="9" t="s">
        <v>6</v>
      </c>
      <c r="D29" s="9" t="s">
        <v>31</v>
      </c>
      <c r="E29" s="10">
        <v>59.81857357276337</v>
      </c>
      <c r="F29" s="10">
        <v>61.977060013311281</v>
      </c>
      <c r="G29" s="9">
        <f t="shared" si="0"/>
        <v>3</v>
      </c>
      <c r="H29" s="93">
        <v>62.908504485722865</v>
      </c>
      <c r="I29" s="47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>
        <f>(INDEX('Race 12'!$E$8:$E$200,(MATCH($B29,'Race 12'!$B$8:$B$200,0)),1))*100</f>
        <v>59.899489271816087</v>
      </c>
      <c r="U29" s="297">
        <f>(INDEX('Race 13'!$E$8:$E$200,(MATCH($B29,'Race 13'!$B$8:$B$200,0)),1))*100</f>
        <v>59.737657873710646</v>
      </c>
      <c r="V29" s="298"/>
      <c r="W29" s="11"/>
      <c r="X29" s="11"/>
      <c r="Y29" s="96"/>
      <c r="Z29" s="96"/>
      <c r="AA29" s="11"/>
      <c r="AB29" s="96"/>
      <c r="AC29" s="96"/>
      <c r="AD29" s="11">
        <f>(INDEX('Race 22'!$E$8:$E$200,(MATCH($B29,'Race 22'!$B$8:$B$200,0)),1))*100</f>
        <v>66.294032894407096</v>
      </c>
      <c r="AE29" s="96"/>
      <c r="AF29" s="96"/>
      <c r="AG29" s="11"/>
      <c r="AH29" s="11"/>
      <c r="AI29" s="11"/>
      <c r="AJ29" s="11"/>
      <c r="AK29" s="11"/>
      <c r="AL29" s="11"/>
      <c r="AM29" s="11"/>
      <c r="AN29" s="250"/>
      <c r="AO29" s="25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96"/>
      <c r="BA29" s="11"/>
      <c r="BB29" s="11"/>
      <c r="BC29" s="96"/>
      <c r="BD29" s="11"/>
      <c r="BE29" s="96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96"/>
      <c r="BX29" s="11"/>
      <c r="BY29" s="11"/>
      <c r="BZ29" s="11"/>
      <c r="CA29" s="11"/>
      <c r="CB29" s="11"/>
      <c r="CC29" s="11"/>
      <c r="CD29" s="11"/>
      <c r="CE29" s="11"/>
      <c r="CF29" s="11"/>
      <c r="CG29" s="96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96"/>
      <c r="CY29" s="96"/>
      <c r="CZ29" s="11"/>
      <c r="DA29" s="26">
        <f t="shared" si="1"/>
        <v>61.977060013311281</v>
      </c>
      <c r="DB29" s="53" t="str">
        <f t="shared" si="2"/>
        <v>Brown, Halcyon</v>
      </c>
      <c r="DC29" s="68">
        <f t="shared" si="3"/>
        <v>1</v>
      </c>
      <c r="DD29" s="62">
        <v>62.908504485722865</v>
      </c>
      <c r="DE29" s="209">
        <f t="shared" si="4"/>
        <v>60.899145144257922</v>
      </c>
      <c r="DF29" s="115">
        <f t="shared" si="11"/>
        <v>2</v>
      </c>
      <c r="DG29" s="4">
        <f t="shared" si="6"/>
        <v>3</v>
      </c>
      <c r="DH29" s="115">
        <f t="shared" si="7"/>
        <v>3</v>
      </c>
      <c r="DI29" s="115" t="str">
        <f t="shared" si="8"/>
        <v>MN</v>
      </c>
      <c r="DJ29" s="62">
        <f>IF(COUNT(I29:U29)&lt;5,DA29,SUMPRODUCT(LARGE(I29:U29,{1,2,3,4,5}))/5)</f>
        <v>61.977060013311281</v>
      </c>
      <c r="DK29" s="62">
        <f>IF(COUNT(I29:AN29)&lt;5,DA29,SUMPRODUCT(LARGE(I29:AN29,{1,2,3,4,5}))/5)</f>
        <v>61.977060013311281</v>
      </c>
      <c r="DL29" s="62">
        <f>IF(COUNT(J29:CZ29)&lt;5,AVERAGE(J29:CZ29),SUMPRODUCT(LARGE(J29:CZ29,{1,2,3,4,5}))/5)</f>
        <v>61.977060013311281</v>
      </c>
      <c r="DM29" s="62">
        <f t="shared" si="10"/>
        <v>60.899145144257922</v>
      </c>
      <c r="DN29" s="13" t="str">
        <f t="shared" si="9"/>
        <v>Brown, Halcyon</v>
      </c>
      <c r="DO29" s="7">
        <v>26</v>
      </c>
      <c r="DP29" s="118"/>
      <c r="DQ29" s="19"/>
      <c r="DR29" s="19"/>
      <c r="DS29" s="139"/>
      <c r="DT29" s="15"/>
      <c r="DU29" s="128"/>
      <c r="DV29" s="128"/>
      <c r="DW29" s="13"/>
      <c r="DX29" s="7"/>
      <c r="DY29" s="18"/>
      <c r="DZ29" s="19"/>
      <c r="EA29" s="19"/>
      <c r="EB29" s="121"/>
      <c r="EC29" s="128"/>
      <c r="ED29" s="128"/>
      <c r="EE29" s="128"/>
      <c r="EF29" s="13"/>
      <c r="EG29" s="13"/>
      <c r="EI29" s="152"/>
    </row>
    <row r="30" spans="1:139" x14ac:dyDescent="0.2">
      <c r="A30" s="7">
        <v>27</v>
      </c>
      <c r="B30" s="119" t="s">
        <v>292</v>
      </c>
      <c r="C30" s="9" t="s">
        <v>5</v>
      </c>
      <c r="D30" s="9" t="s">
        <v>423</v>
      </c>
      <c r="E30" s="10">
        <v>0</v>
      </c>
      <c r="F30" s="10">
        <v>39.86762593430872</v>
      </c>
      <c r="G30" s="9">
        <f t="shared" si="0"/>
        <v>2</v>
      </c>
      <c r="H30" s="93">
        <v>0</v>
      </c>
      <c r="I30" s="47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96"/>
      <c r="U30" s="297"/>
      <c r="V30" s="298"/>
      <c r="W30" s="11"/>
      <c r="X30" s="96"/>
      <c r="Y30" s="96"/>
      <c r="Z30" s="96"/>
      <c r="AA30" s="96"/>
      <c r="AB30" s="96"/>
      <c r="AC30" s="96"/>
      <c r="AD30" s="96"/>
      <c r="AE30" s="96"/>
      <c r="AF30" s="110"/>
      <c r="AG30" s="11"/>
      <c r="AH30" s="11"/>
      <c r="AI30" s="11"/>
      <c r="AJ30" s="11"/>
      <c r="AK30" s="11"/>
      <c r="AL30" s="11"/>
      <c r="AM30" s="11">
        <f>(INDEX('Race 31'!$E$8:$E$200,(MATCH($B30,'Race 31'!$B$8:$B$200,0)),1))*100</f>
        <v>38.979395012900163</v>
      </c>
      <c r="AN30" s="250">
        <f>(INDEX('Race 32'!$E$8:$E$200,(MATCH($B30,'Race 32'!$B$8:$B$200,0)),1))*100</f>
        <v>40.755856855717276</v>
      </c>
      <c r="AO30" s="25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96"/>
      <c r="BA30" s="11"/>
      <c r="BB30" s="11"/>
      <c r="BC30" s="96"/>
      <c r="BD30" s="11"/>
      <c r="BE30" s="96"/>
      <c r="BF30" s="11"/>
      <c r="BG30" s="11"/>
      <c r="BH30" s="11"/>
      <c r="BI30" s="11"/>
      <c r="BJ30" s="11"/>
      <c r="BK30" s="11"/>
      <c r="BL30" s="11"/>
      <c r="BM30" s="11"/>
      <c r="BN30" s="96"/>
      <c r="BO30" s="11"/>
      <c r="BP30" s="11"/>
      <c r="BQ30" s="11"/>
      <c r="BR30" s="11"/>
      <c r="BS30" s="11"/>
      <c r="BT30" s="11"/>
      <c r="BU30" s="11"/>
      <c r="BV30" s="11"/>
      <c r="BW30" s="96"/>
      <c r="BX30" s="11"/>
      <c r="BY30" s="11"/>
      <c r="BZ30" s="11"/>
      <c r="CA30" s="11"/>
      <c r="CB30" s="11"/>
      <c r="CC30" s="11"/>
      <c r="CD30" s="11"/>
      <c r="CE30" s="11"/>
      <c r="CF30" s="11"/>
      <c r="CG30" s="96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96"/>
      <c r="CY30" s="96"/>
      <c r="CZ30" s="11"/>
      <c r="DA30" s="26">
        <f t="shared" si="1"/>
        <v>39.86762593430872</v>
      </c>
      <c r="DB30" s="53" t="str">
        <f t="shared" si="2"/>
        <v>Carbaugh, Arica</v>
      </c>
      <c r="DC30" s="68">
        <f t="shared" si="3"/>
        <v>1</v>
      </c>
      <c r="DD30" s="62">
        <v>66.367715995604314</v>
      </c>
      <c r="DE30" s="209">
        <f t="shared" si="4"/>
        <v>39.174241853501741</v>
      </c>
      <c r="DF30" s="115">
        <f t="shared" si="11"/>
        <v>0</v>
      </c>
      <c r="DG30" s="4">
        <f t="shared" si="6"/>
        <v>2</v>
      </c>
      <c r="DH30" s="115">
        <f t="shared" si="7"/>
        <v>2</v>
      </c>
      <c r="DI30" s="115" t="str">
        <f t="shared" si="8"/>
        <v>PA</v>
      </c>
      <c r="DJ30" s="62">
        <f>IF(COUNT(I30:U30)&lt;5,DA30,SUMPRODUCT(LARGE(I30:U30,{1,2,3,4,5}))/5)</f>
        <v>39.86762593430872</v>
      </c>
      <c r="DK30" s="62">
        <f>IF(COUNT(I30:AN30)&lt;5,DA30,SUMPRODUCT(LARGE(I30:AN30,{1,2,3,4,5}))/5)</f>
        <v>39.86762593430872</v>
      </c>
      <c r="DL30" s="209">
        <f>IF(COUNT(J30:CZ30)&lt;5,AVERAGE(J30:CZ30),SUMPRODUCT(LARGE(J30:CZ30,{1,2,3,4,5}))/5)</f>
        <v>39.86762593430872</v>
      </c>
      <c r="DM30" s="62">
        <f t="shared" si="10"/>
        <v>39.174241853501741</v>
      </c>
      <c r="DN30" s="13" t="str">
        <f t="shared" si="9"/>
        <v>Carbaugh, Arica</v>
      </c>
      <c r="DO30" s="7">
        <v>27</v>
      </c>
      <c r="DP30" s="18"/>
      <c r="DQ30" s="19"/>
      <c r="DR30" s="19"/>
      <c r="DS30" s="121"/>
      <c r="DT30" s="128"/>
      <c r="DU30" s="128"/>
      <c r="DV30" s="128"/>
      <c r="DW30" s="13"/>
      <c r="DX30" s="7"/>
      <c r="DY30" s="103"/>
      <c r="DZ30" s="19"/>
      <c r="EA30" s="19"/>
      <c r="EB30" s="139"/>
      <c r="EC30" s="15"/>
      <c r="ED30" s="128"/>
      <c r="EE30" s="128"/>
      <c r="EF30" s="13"/>
      <c r="EG30" s="13"/>
      <c r="EI30" s="152"/>
    </row>
    <row r="31" spans="1:139" x14ac:dyDescent="0.2">
      <c r="A31" s="7">
        <v>28</v>
      </c>
      <c r="B31" s="119" t="s">
        <v>485</v>
      </c>
      <c r="C31" s="9" t="s">
        <v>5</v>
      </c>
      <c r="D31" s="9" t="s">
        <v>293</v>
      </c>
      <c r="E31" s="10">
        <v>0</v>
      </c>
      <c r="F31" s="10">
        <v>48.979175803487578</v>
      </c>
      <c r="G31" s="9">
        <f t="shared" si="0"/>
        <v>4</v>
      </c>
      <c r="H31" s="93">
        <v>0</v>
      </c>
      <c r="I31" s="47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96"/>
      <c r="U31" s="297"/>
      <c r="V31" s="298"/>
      <c r="W31" s="11"/>
      <c r="X31" s="96"/>
      <c r="Y31" s="96"/>
      <c r="Z31" s="96"/>
      <c r="AA31" s="96"/>
      <c r="AB31" s="96"/>
      <c r="AC31" s="96"/>
      <c r="AD31" s="96"/>
      <c r="AE31" s="96"/>
      <c r="AF31" s="96"/>
      <c r="AG31" s="11"/>
      <c r="AH31" s="11"/>
      <c r="AI31" s="11"/>
      <c r="AJ31" s="11"/>
      <c r="AK31" s="11"/>
      <c r="AL31" s="11"/>
      <c r="AM31" s="11">
        <f>(INDEX('Race 31'!$E$8:$E$200,(MATCH($B31,'Race 31'!$B$8:$B$200,0)),1))*100</f>
        <v>45.954019527214598</v>
      </c>
      <c r="AN31" s="250">
        <f>(INDEX('Race 32'!$E$8:$E$200,(MATCH($B31,'Race 32'!$B$8:$B$200,0)),1))*100</f>
        <v>52.004332079760559</v>
      </c>
      <c r="AO31" s="25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96"/>
      <c r="BA31" s="11"/>
      <c r="BB31" s="11"/>
      <c r="BC31" s="96"/>
      <c r="BD31" s="11"/>
      <c r="BE31" s="96"/>
      <c r="BF31" s="11"/>
      <c r="BG31" s="11"/>
      <c r="BH31" s="11">
        <f>(INDEX('Race 52'!$E$8:$E$200,(MATCH($B31,'Race 52'!$B$8:$B$200,0)),1))*100</f>
        <v>48.973763397354944</v>
      </c>
      <c r="BI31" s="11">
        <f>(INDEX('Race 53'!$E$8:$E$200,(MATCH($B31,'Race 53'!$B$8:$B$200,0)),1))*100</f>
        <v>49.925950760427654</v>
      </c>
      <c r="BJ31" s="11"/>
      <c r="BK31" s="11"/>
      <c r="BL31" s="11"/>
      <c r="BM31" s="11"/>
      <c r="BN31" s="96"/>
      <c r="BO31" s="11"/>
      <c r="BP31" s="11"/>
      <c r="BQ31" s="11"/>
      <c r="BR31" s="11"/>
      <c r="BS31" s="11"/>
      <c r="BT31" s="11"/>
      <c r="BU31" s="11"/>
      <c r="BV31" s="11"/>
      <c r="BW31" s="96"/>
      <c r="BX31" s="11"/>
      <c r="BY31" s="11"/>
      <c r="BZ31" s="11"/>
      <c r="CA31" s="11"/>
      <c r="CB31" s="11"/>
      <c r="CC31" s="11"/>
      <c r="CD31" s="11"/>
      <c r="CE31" s="11"/>
      <c r="CF31" s="11"/>
      <c r="CG31" s="96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96"/>
      <c r="CY31" s="96"/>
      <c r="CZ31" s="11"/>
      <c r="DA31" s="26">
        <f t="shared" si="1"/>
        <v>49.214516441189446</v>
      </c>
      <c r="DB31" s="53" t="str">
        <f t="shared" si="2"/>
        <v>Clancy, Claire</v>
      </c>
      <c r="DC31" s="68">
        <f t="shared" si="3"/>
        <v>1</v>
      </c>
      <c r="DD31" s="62">
        <v>66.367715995604314</v>
      </c>
      <c r="DE31" s="209">
        <f t="shared" si="4"/>
        <v>48.358569756499406</v>
      </c>
      <c r="DF31" s="115">
        <f t="shared" si="11"/>
        <v>0</v>
      </c>
      <c r="DG31" s="4">
        <f t="shared" si="6"/>
        <v>2</v>
      </c>
      <c r="DH31" s="115">
        <f t="shared" si="7"/>
        <v>4</v>
      </c>
      <c r="DI31" s="115" t="str">
        <f t="shared" si="8"/>
        <v>RI</v>
      </c>
      <c r="DJ31" s="62">
        <f>IF(COUNT(I31:U31)&lt;5,DA31,SUMPRODUCT(LARGE(I31:U31,{1,2,3,4,5}))/5)</f>
        <v>49.214516441189446</v>
      </c>
      <c r="DK31" s="62">
        <f>IF(COUNT(I31:AN31)&lt;5,DA31,SUMPRODUCT(LARGE(I31:AN31,{1,2,3,4,5}))/5)</f>
        <v>49.214516441189446</v>
      </c>
      <c r="DL31" s="209">
        <f>IF(COUNT(J31:CZ31)&lt;5,AVERAGE(J31:CZ31),SUMPRODUCT(LARGE(J31:CZ31,{1,2,3,4,5}))/5)</f>
        <v>49.214516441189446</v>
      </c>
      <c r="DM31" s="62">
        <f t="shared" si="10"/>
        <v>48.358569756499406</v>
      </c>
      <c r="DN31" s="13" t="str">
        <f t="shared" si="9"/>
        <v>Clancy, Claire</v>
      </c>
      <c r="DO31" s="7">
        <v>28</v>
      </c>
      <c r="DP31" s="18"/>
      <c r="DQ31" s="19"/>
      <c r="DR31" s="19"/>
      <c r="DS31" s="121"/>
      <c r="DT31" s="128"/>
      <c r="DU31" s="128"/>
      <c r="DV31" s="128"/>
      <c r="DW31" s="13"/>
      <c r="DX31" s="7"/>
      <c r="DY31" s="103"/>
      <c r="DZ31" s="19"/>
      <c r="EA31" s="19"/>
      <c r="EB31" s="121"/>
      <c r="EC31" s="128"/>
      <c r="ED31" s="128"/>
      <c r="EE31" s="128"/>
      <c r="EF31" s="13"/>
      <c r="EG31" s="13"/>
      <c r="EI31" s="152"/>
    </row>
    <row r="32" spans="1:139" x14ac:dyDescent="0.2">
      <c r="A32" s="7">
        <v>29</v>
      </c>
      <c r="B32" s="119" t="s">
        <v>440</v>
      </c>
      <c r="C32" s="9" t="s">
        <v>5</v>
      </c>
      <c r="D32" s="9" t="s">
        <v>37</v>
      </c>
      <c r="E32" s="10">
        <v>0</v>
      </c>
      <c r="F32" s="10">
        <v>0</v>
      </c>
      <c r="G32" s="9">
        <f t="shared" si="0"/>
        <v>3</v>
      </c>
      <c r="H32" s="93">
        <v>0</v>
      </c>
      <c r="I32" s="47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96"/>
      <c r="U32" s="297"/>
      <c r="V32" s="298"/>
      <c r="W32" s="11"/>
      <c r="X32" s="96"/>
      <c r="Y32" s="96"/>
      <c r="Z32" s="96"/>
      <c r="AA32" s="96"/>
      <c r="AB32" s="96"/>
      <c r="AC32" s="96"/>
      <c r="AD32" s="96"/>
      <c r="AE32" s="96"/>
      <c r="AF32" s="110"/>
      <c r="AG32" s="11"/>
      <c r="AH32" s="11"/>
      <c r="AI32" s="11"/>
      <c r="AJ32" s="11"/>
      <c r="AK32" s="11"/>
      <c r="AL32" s="11"/>
      <c r="AM32" s="11"/>
      <c r="AN32" s="250"/>
      <c r="AO32" s="251"/>
      <c r="AP32" s="11"/>
      <c r="AQ32" s="11"/>
      <c r="AR32" s="11"/>
      <c r="AS32" s="11"/>
      <c r="AT32" s="11"/>
      <c r="AU32" s="11"/>
      <c r="AV32" s="11"/>
      <c r="AW32" s="11">
        <f>(INDEX('Race 41'!$E$8:$E$200,(MATCH($B32,'Race 41'!$B$8:$B$200,0)),1))*100</f>
        <v>45.163126272159928</v>
      </c>
      <c r="AX32" s="11">
        <f>(INDEX('Race 42'!$E$8:$E$200,(MATCH($B32,'Race 42'!$B$8:$B$200,0)),1))*100</f>
        <v>61.711530456142263</v>
      </c>
      <c r="AY32" s="11"/>
      <c r="AZ32" s="96"/>
      <c r="BA32" s="11"/>
      <c r="BB32" s="11"/>
      <c r="BC32" s="96"/>
      <c r="BD32" s="11"/>
      <c r="BE32" s="96"/>
      <c r="BF32" s="11"/>
      <c r="BG32" s="11"/>
      <c r="BH32" s="11"/>
      <c r="BI32" s="11"/>
      <c r="BJ32" s="11"/>
      <c r="BK32" s="11"/>
      <c r="BL32" s="11"/>
      <c r="BM32" s="11"/>
      <c r="BN32" s="11">
        <f>(INDEX('Race 58'!$E$8:$E$200,(MATCH($B32,'Race 58'!$B$8:$B$200,0)),1))*100</f>
        <v>44.466172416807233</v>
      </c>
      <c r="BO32" s="11"/>
      <c r="BP32" s="11"/>
      <c r="BQ32" s="11"/>
      <c r="BR32" s="11"/>
      <c r="BS32" s="11"/>
      <c r="BT32" s="11"/>
      <c r="BU32" s="11"/>
      <c r="BV32" s="11"/>
      <c r="BW32" s="96"/>
      <c r="BX32" s="11"/>
      <c r="BY32" s="11"/>
      <c r="BZ32" s="11"/>
      <c r="CA32" s="11"/>
      <c r="CB32" s="11"/>
      <c r="CC32" s="11"/>
      <c r="CD32" s="11"/>
      <c r="CE32" s="11"/>
      <c r="CF32" s="11"/>
      <c r="CG32" s="96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96"/>
      <c r="CY32" s="96"/>
      <c r="CZ32" s="11"/>
      <c r="DA32" s="26">
        <f t="shared" si="1"/>
        <v>50.44694304836981</v>
      </c>
      <c r="DB32" s="53" t="str">
        <f t="shared" si="2"/>
        <v>Collins, Julia</v>
      </c>
      <c r="DC32" s="68">
        <f t="shared" si="3"/>
        <v>1</v>
      </c>
      <c r="DD32" s="62">
        <v>66.367715995604314</v>
      </c>
      <c r="DE32" s="209">
        <f t="shared" si="4"/>
        <v>49.56956180443138</v>
      </c>
      <c r="DF32" s="115">
        <f t="shared" si="11"/>
        <v>0</v>
      </c>
      <c r="DG32" s="4">
        <f t="shared" si="6"/>
        <v>0</v>
      </c>
      <c r="DH32" s="115">
        <f t="shared" si="7"/>
        <v>3</v>
      </c>
      <c r="DI32" s="115" t="str">
        <f t="shared" si="8"/>
        <v>CO</v>
      </c>
      <c r="DJ32" s="62">
        <f>IF(COUNT(I32:U32)&lt;5,DA32,SUMPRODUCT(LARGE(I32:U32,{1,2,3,4,5}))/5)</f>
        <v>50.44694304836981</v>
      </c>
      <c r="DK32" s="62">
        <f>IF(COUNT(I32:AN32)&lt;5,DA32,SUMPRODUCT(LARGE(I32:AN32,{1,2,3,4,5}))/5)</f>
        <v>50.44694304836981</v>
      </c>
      <c r="DL32" s="209">
        <f>IF(COUNT(J32:CZ32)&lt;5,AVERAGE(J32:CZ32),SUMPRODUCT(LARGE(J32:CZ32,{1,2,3,4,5}))/5)</f>
        <v>50.44694304836981</v>
      </c>
      <c r="DM32" s="62">
        <f t="shared" si="10"/>
        <v>49.56956180443138</v>
      </c>
      <c r="DN32" s="13" t="str">
        <f t="shared" si="9"/>
        <v>Collins, Julia</v>
      </c>
      <c r="DO32" s="7">
        <v>29</v>
      </c>
      <c r="DP32" s="16"/>
      <c r="DQ32" s="9"/>
      <c r="DR32" s="9"/>
      <c r="DS32" s="121"/>
      <c r="DT32" s="128"/>
      <c r="DU32" s="128"/>
      <c r="DV32" s="128"/>
      <c r="DW32" s="13"/>
      <c r="DX32" s="7"/>
      <c r="DY32" s="8"/>
      <c r="DZ32" s="9"/>
      <c r="EA32" s="9"/>
      <c r="EB32" s="121"/>
      <c r="EC32" s="128"/>
      <c r="ED32" s="128"/>
      <c r="EE32" s="128"/>
      <c r="EF32" s="13"/>
      <c r="EG32" s="13"/>
      <c r="EI32" s="152"/>
    </row>
    <row r="33" spans="1:139" x14ac:dyDescent="0.2">
      <c r="A33" s="7">
        <v>30</v>
      </c>
      <c r="B33" s="119" t="s">
        <v>258</v>
      </c>
      <c r="C33" s="9" t="s">
        <v>5</v>
      </c>
      <c r="D33" s="9" t="s">
        <v>36</v>
      </c>
      <c r="E33" s="10">
        <v>31.480806867006041</v>
      </c>
      <c r="F33" s="10">
        <v>34.070633476673052</v>
      </c>
      <c r="G33" s="9">
        <f t="shared" si="0"/>
        <v>5</v>
      </c>
      <c r="H33" s="93">
        <v>31.480806867006041</v>
      </c>
      <c r="I33" s="46"/>
      <c r="J33" s="25"/>
      <c r="K33" s="25"/>
      <c r="L33" s="25"/>
      <c r="M33" s="25"/>
      <c r="N33" s="25"/>
      <c r="O33" s="25"/>
      <c r="P33" s="25"/>
      <c r="Q33" s="11"/>
      <c r="R33" s="25"/>
      <c r="S33" s="11"/>
      <c r="T33" s="96"/>
      <c r="U33" s="297"/>
      <c r="V33" s="298"/>
      <c r="W33" s="11"/>
      <c r="X33" s="96"/>
      <c r="Y33" s="96"/>
      <c r="Z33" s="96"/>
      <c r="AA33" s="96"/>
      <c r="AB33" s="96"/>
      <c r="AC33" s="111"/>
      <c r="AD33" s="96"/>
      <c r="AE33" s="96"/>
      <c r="AF33" s="96"/>
      <c r="AG33" s="25">
        <f>(INDEX('Race 25'!$E$8:$E$200,(MATCH($B33,'Race 25'!$B$8:$B$200,0)),1))*100</f>
        <v>38.680798213922678</v>
      </c>
      <c r="AH33" s="25">
        <f>(INDEX('Race 26'!$E$8:$E$200,(MATCH($B33,'Race 26'!$B$8:$B$200,0)),1))*100</f>
        <v>29.460468739423419</v>
      </c>
      <c r="AI33" s="25"/>
      <c r="AJ33" s="11"/>
      <c r="AK33" s="11"/>
      <c r="AL33" s="11"/>
      <c r="AM33" s="11"/>
      <c r="AN33" s="250"/>
      <c r="AO33" s="25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96"/>
      <c r="BA33" s="11"/>
      <c r="BB33" s="11"/>
      <c r="BC33" s="11"/>
      <c r="BD33" s="25"/>
      <c r="BE33" s="25">
        <f>(INDEX('Race 49'!$E$8:$E$200,(MATCH($B33,'Race 49'!$B$8:$B$200,0)),1))*100</f>
        <v>29.612341267332674</v>
      </c>
      <c r="BF33" s="25"/>
      <c r="BG33" s="25"/>
      <c r="BH33" s="25"/>
      <c r="BI33" s="25"/>
      <c r="BJ33" s="25"/>
      <c r="BK33" s="11"/>
      <c r="BL33" s="11">
        <f>(INDEX('Race 56'!$E$8:$E$200,(MATCH($B33,'Race 56'!$B$8:$B$200,0)),1))*100</f>
        <v>26.551919349158055</v>
      </c>
      <c r="BM33" s="11">
        <f>(INDEX('Race 57'!$E$8:$E$200,(MATCH($B33,'Race 57'!$B$8:$B$200,0)),1))*100</f>
        <v>30.825622728947881</v>
      </c>
      <c r="BN33" s="96"/>
      <c r="BO33" s="11"/>
      <c r="BP33" s="25"/>
      <c r="BQ33" s="25"/>
      <c r="BR33" s="25"/>
      <c r="BS33" s="11"/>
      <c r="BT33" s="11"/>
      <c r="BU33" s="11"/>
      <c r="BV33" s="11"/>
      <c r="BW33" s="111"/>
      <c r="BX33" s="25"/>
      <c r="BY33" s="11"/>
      <c r="BZ33" s="25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25"/>
      <c r="CP33" s="25"/>
      <c r="CQ33" s="11"/>
      <c r="CR33" s="11"/>
      <c r="CS33" s="25"/>
      <c r="CT33" s="25"/>
      <c r="CU33" s="25"/>
      <c r="CV33" s="25"/>
      <c r="CW33" s="25"/>
      <c r="CX33" s="111"/>
      <c r="CY33" s="96"/>
      <c r="CZ33" s="25"/>
      <c r="DA33" s="26">
        <f t="shared" si="1"/>
        <v>31.026230059756944</v>
      </c>
      <c r="DB33" s="53" t="str">
        <f t="shared" si="2"/>
        <v>Colvard, Kathleen</v>
      </c>
      <c r="DC33" s="68">
        <f t="shared" si="3"/>
        <v>1</v>
      </c>
      <c r="DD33" s="62">
        <v>31.480806867006041</v>
      </c>
      <c r="DE33" s="209">
        <f t="shared" si="4"/>
        <v>30.486616939920356</v>
      </c>
      <c r="DF33" s="115">
        <f t="shared" si="11"/>
        <v>0</v>
      </c>
      <c r="DG33" s="4">
        <f t="shared" si="6"/>
        <v>2</v>
      </c>
      <c r="DH33" s="115">
        <f t="shared" si="7"/>
        <v>5</v>
      </c>
      <c r="DI33" s="115" t="str">
        <f t="shared" si="8"/>
        <v>WA</v>
      </c>
      <c r="DJ33" s="62">
        <f>IF(COUNT(I33:U33)&lt;5,DA33,SUMPRODUCT(LARGE(I33:U33,{1,2,3,4,5}))/5)</f>
        <v>31.026230059756944</v>
      </c>
      <c r="DK33" s="62">
        <f>IF(COUNT(I33:AN33)&lt;5,DA33,SUMPRODUCT(LARGE(I33:AN33,{1,2,3,4,5}))/5)</f>
        <v>31.026230059756944</v>
      </c>
      <c r="DL33" s="62">
        <f>IF(COUNT(J33:CZ33)&lt;5,AVERAGE(J33:CZ33),SUMPRODUCT(LARGE(J33:CZ33,{1,2,3,4,5}))/5)</f>
        <v>31.026230059756944</v>
      </c>
      <c r="DM33" s="62">
        <f t="shared" si="10"/>
        <v>30.486616939920356</v>
      </c>
      <c r="DN33" s="13" t="str">
        <f t="shared" si="9"/>
        <v>Colvard, Kathleen</v>
      </c>
      <c r="DO33" s="7">
        <v>30</v>
      </c>
      <c r="DP33" s="16"/>
      <c r="DQ33" s="9"/>
      <c r="DR33" s="9"/>
      <c r="DS33" s="139"/>
      <c r="DT33" s="15"/>
      <c r="DU33" s="128"/>
      <c r="DV33" s="128"/>
      <c r="DW33" s="13"/>
      <c r="DX33" s="7"/>
      <c r="DY33" s="136"/>
      <c r="DZ33" s="9"/>
      <c r="EA33" s="9"/>
      <c r="EB33" s="139"/>
      <c r="EC33" s="15"/>
      <c r="ED33" s="128"/>
      <c r="EE33" s="128"/>
      <c r="EF33" s="13"/>
      <c r="EG33" s="13"/>
      <c r="EI33" s="152"/>
    </row>
    <row r="34" spans="1:139" x14ac:dyDescent="0.2">
      <c r="A34" s="7">
        <v>31</v>
      </c>
      <c r="B34" s="119" t="s">
        <v>255</v>
      </c>
      <c r="C34" s="9" t="s">
        <v>6</v>
      </c>
      <c r="D34" s="9" t="s">
        <v>30</v>
      </c>
      <c r="E34" s="10">
        <v>55.437417046027647</v>
      </c>
      <c r="F34" s="10">
        <v>55.437417046027647</v>
      </c>
      <c r="G34" s="9">
        <f t="shared" si="0"/>
        <v>2</v>
      </c>
      <c r="H34" s="93">
        <v>52.736327066935715</v>
      </c>
      <c r="I34" s="46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>
        <f>(INDEX('Race 12'!$E$8:$E$200,(MATCH($B34,'Race 12'!$B$8:$B$200,0)),1))*100</f>
        <v>53.763854028351297</v>
      </c>
      <c r="U34" s="297">
        <f>(INDEX('Race 13'!$E$8:$E$200,(MATCH($B34,'Race 13'!$B$8:$B$200,0)),1))*100</f>
        <v>57.110980063704005</v>
      </c>
      <c r="V34" s="298"/>
      <c r="W34" s="11"/>
      <c r="X34" s="96"/>
      <c r="Y34" s="96"/>
      <c r="Z34" s="96"/>
      <c r="AA34" s="96"/>
      <c r="AB34" s="96"/>
      <c r="AC34" s="96"/>
      <c r="AD34" s="96"/>
      <c r="AE34" s="96"/>
      <c r="AF34" s="110"/>
      <c r="AG34" s="11"/>
      <c r="AH34" s="11"/>
      <c r="AI34" s="11"/>
      <c r="AJ34" s="11"/>
      <c r="AK34" s="11"/>
      <c r="AL34" s="11"/>
      <c r="AM34" s="11"/>
      <c r="AN34" s="250"/>
      <c r="AO34" s="25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96"/>
      <c r="BA34" s="11"/>
      <c r="BB34" s="11"/>
      <c r="BC34" s="96"/>
      <c r="BD34" s="11"/>
      <c r="BE34" s="96"/>
      <c r="BF34" s="11"/>
      <c r="BG34" s="11"/>
      <c r="BH34" s="11"/>
      <c r="BI34" s="11"/>
      <c r="BJ34" s="11"/>
      <c r="BK34" s="11"/>
      <c r="BL34" s="11"/>
      <c r="BM34" s="11"/>
      <c r="BN34" s="96"/>
      <c r="BO34" s="11"/>
      <c r="BP34" s="11"/>
      <c r="BQ34" s="11"/>
      <c r="BR34" s="11"/>
      <c r="BS34" s="11"/>
      <c r="BT34" s="11"/>
      <c r="BU34" s="11"/>
      <c r="BV34" s="11"/>
      <c r="BW34" s="96"/>
      <c r="BX34" s="11"/>
      <c r="BY34" s="11"/>
      <c r="BZ34" s="11"/>
      <c r="CA34" s="11"/>
      <c r="CB34" s="11"/>
      <c r="CC34" s="11"/>
      <c r="CD34" s="11"/>
      <c r="CE34" s="11"/>
      <c r="CF34" s="11"/>
      <c r="CG34" s="96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96"/>
      <c r="CY34" s="96"/>
      <c r="CZ34" s="11"/>
      <c r="DA34" s="26">
        <f t="shared" si="1"/>
        <v>55.437417046027647</v>
      </c>
      <c r="DB34" s="53" t="str">
        <f t="shared" si="2"/>
        <v>Conger, Mallory</v>
      </c>
      <c r="DC34" s="68">
        <f t="shared" si="3"/>
        <v>1</v>
      </c>
      <c r="DD34" s="62">
        <v>52.736327066935715</v>
      </c>
      <c r="DE34" s="209">
        <f t="shared" si="4"/>
        <v>54.473240685887447</v>
      </c>
      <c r="DF34" s="115">
        <f t="shared" si="11"/>
        <v>2</v>
      </c>
      <c r="DG34" s="4">
        <f t="shared" si="6"/>
        <v>2</v>
      </c>
      <c r="DH34" s="115">
        <f t="shared" si="7"/>
        <v>2</v>
      </c>
      <c r="DI34" s="115" t="str">
        <f t="shared" si="8"/>
        <v>AK</v>
      </c>
      <c r="DJ34" s="62">
        <f>IF(COUNT(I34:U34)&lt;5,DA34,SUMPRODUCT(LARGE(I34:U34,{1,2,3,4,5}))/5)</f>
        <v>55.437417046027647</v>
      </c>
      <c r="DK34" s="62">
        <f>IF(COUNT(I34:AN34)&lt;5,DA34,SUMPRODUCT(LARGE(I34:AN34,{1,2,3,4,5}))/5)</f>
        <v>55.437417046027647</v>
      </c>
      <c r="DL34" s="62">
        <f>IF(COUNT(J34:CZ34)&lt;5,AVERAGE(J34:CZ34),SUMPRODUCT(LARGE(J34:CZ34,{1,2,3,4,5}))/5)</f>
        <v>55.437417046027647</v>
      </c>
      <c r="DM34" s="62">
        <f t="shared" si="10"/>
        <v>54.473240685887447</v>
      </c>
      <c r="DN34" s="13" t="str">
        <f t="shared" si="9"/>
        <v>Conger, Mallory</v>
      </c>
      <c r="DO34" s="7">
        <v>31</v>
      </c>
      <c r="DP34" s="16"/>
      <c r="DQ34" s="9"/>
      <c r="DR34" s="9"/>
      <c r="DS34" s="121"/>
      <c r="DT34" s="128"/>
      <c r="DU34" s="128"/>
      <c r="DV34" s="128"/>
      <c r="DW34" s="13"/>
      <c r="DX34" s="7"/>
      <c r="DY34" s="16"/>
      <c r="DZ34" s="9"/>
      <c r="EA34" s="9"/>
      <c r="EB34" s="121"/>
      <c r="EC34" s="128"/>
      <c r="ED34" s="128"/>
      <c r="EE34" s="128"/>
      <c r="EF34" s="13"/>
      <c r="EG34" s="13"/>
      <c r="EI34" s="152"/>
    </row>
    <row r="35" spans="1:139" x14ac:dyDescent="0.2">
      <c r="A35" s="7">
        <v>32</v>
      </c>
      <c r="B35" s="16" t="s">
        <v>414</v>
      </c>
      <c r="C35" s="9" t="s">
        <v>5</v>
      </c>
      <c r="D35" s="9" t="s">
        <v>30</v>
      </c>
      <c r="E35" s="10">
        <v>0</v>
      </c>
      <c r="F35" s="10">
        <v>42.620598078269083</v>
      </c>
      <c r="G35" s="9">
        <f t="shared" si="0"/>
        <v>4</v>
      </c>
      <c r="H35" s="93">
        <v>0</v>
      </c>
      <c r="I35" s="46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96"/>
      <c r="U35" s="297"/>
      <c r="V35" s="298"/>
      <c r="W35" s="11"/>
      <c r="X35" s="96"/>
      <c r="Y35" s="96"/>
      <c r="Z35" s="96"/>
      <c r="AA35" s="96"/>
      <c r="AB35" s="96"/>
      <c r="AC35" s="96"/>
      <c r="AD35" s="96"/>
      <c r="AE35" s="96"/>
      <c r="AF35" s="110"/>
      <c r="AG35" s="11"/>
      <c r="AH35" s="11"/>
      <c r="AI35" s="11"/>
      <c r="AJ35" s="11"/>
      <c r="AK35" s="11"/>
      <c r="AL35" s="11"/>
      <c r="AM35" s="11">
        <f>(INDEX('Race 31'!$E$8:$E$200,(MATCH($B35,'Race 31'!$B$8:$B$200,0)),1))*100</f>
        <v>41.941773919854406</v>
      </c>
      <c r="AN35" s="250">
        <f>(INDEX('Race 32'!$E$8:$E$200,(MATCH($B35,'Race 32'!$B$8:$B$200,0)),1))*100</f>
        <v>43.299422236683768</v>
      </c>
      <c r="AO35" s="25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96"/>
      <c r="BA35" s="11"/>
      <c r="BB35" s="11"/>
      <c r="BC35" s="111"/>
      <c r="BD35" s="25"/>
      <c r="BE35" s="96"/>
      <c r="BF35" s="25"/>
      <c r="BG35" s="25"/>
      <c r="BH35" s="11">
        <f>(INDEX('Race 52'!$E$8:$E$200,(MATCH($B35,'Race 52'!$B$8:$B$200,0)),1))*100</f>
        <v>36.399807126027902</v>
      </c>
      <c r="BI35" s="11">
        <f>(INDEX('Race 53'!$E$8:$E$200,(MATCH($B35,'Race 53'!$B$8:$B$200,0)),1))*100</f>
        <v>41.04483923694395</v>
      </c>
      <c r="BJ35" s="11"/>
      <c r="BK35" s="11"/>
      <c r="BL35" s="11"/>
      <c r="BM35" s="11"/>
      <c r="BN35" s="96"/>
      <c r="BO35" s="11"/>
      <c r="BP35" s="11"/>
      <c r="BQ35" s="11"/>
      <c r="BR35" s="11"/>
      <c r="BS35" s="11"/>
      <c r="BT35" s="11"/>
      <c r="BU35" s="11"/>
      <c r="BV35" s="11"/>
      <c r="BW35" s="96"/>
      <c r="BX35" s="11"/>
      <c r="BY35" s="11"/>
      <c r="BZ35" s="11"/>
      <c r="CA35" s="11"/>
      <c r="CB35" s="11"/>
      <c r="CC35" s="11"/>
      <c r="CD35" s="11"/>
      <c r="CE35" s="11"/>
      <c r="CF35" s="11"/>
      <c r="CG35" s="96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96"/>
      <c r="CY35" s="96"/>
      <c r="CZ35" s="11"/>
      <c r="DA35" s="26">
        <f t="shared" si="1"/>
        <v>40.671460629877501</v>
      </c>
      <c r="DB35" s="53" t="str">
        <f t="shared" si="2"/>
        <v>Cresenzo, Ruth</v>
      </c>
      <c r="DC35" s="68">
        <f t="shared" si="3"/>
        <v>1</v>
      </c>
      <c r="DD35" s="62">
        <v>66.367715995604314</v>
      </c>
      <c r="DE35" s="209">
        <f t="shared" si="4"/>
        <v>39.964096128404741</v>
      </c>
      <c r="DF35" s="115">
        <f t="shared" si="11"/>
        <v>0</v>
      </c>
      <c r="DG35" s="4">
        <f t="shared" si="6"/>
        <v>2</v>
      </c>
      <c r="DH35" s="115">
        <f t="shared" si="7"/>
        <v>4</v>
      </c>
      <c r="DI35" s="115" t="str">
        <f t="shared" si="8"/>
        <v>AK</v>
      </c>
      <c r="DJ35" s="62">
        <f>IF(COUNT(I35:U35)&lt;5,DA35,SUMPRODUCT(LARGE(I35:U35,{1,2,3,4,5}))/5)</f>
        <v>40.671460629877501</v>
      </c>
      <c r="DK35" s="62">
        <f>IF(COUNT(I35:AN35)&lt;5,DA35,SUMPRODUCT(LARGE(I35:AN35,{1,2,3,4,5}))/5)</f>
        <v>40.671460629877501</v>
      </c>
      <c r="DL35" s="209">
        <f>IF(COUNT(J35:CZ35)&lt;5,AVERAGE(J35:CZ35),SUMPRODUCT(LARGE(J35:CZ35,{1,2,3,4,5}))/5)</f>
        <v>40.671460629877501</v>
      </c>
      <c r="DM35" s="62">
        <f t="shared" si="10"/>
        <v>39.964096128404741</v>
      </c>
      <c r="DN35" s="13" t="str">
        <f t="shared" si="9"/>
        <v>Cresenzo, Ruth</v>
      </c>
      <c r="DO35" s="7">
        <v>32</v>
      </c>
      <c r="DP35" s="16"/>
      <c r="DQ35" s="9"/>
      <c r="DR35" s="9"/>
      <c r="DS35" s="139"/>
      <c r="DT35" s="15"/>
      <c r="DU35" s="128"/>
      <c r="DV35" s="128"/>
      <c r="DW35" s="13"/>
      <c r="DX35" s="7"/>
      <c r="DY35" s="8"/>
      <c r="DZ35" s="9"/>
      <c r="EA35" s="9"/>
      <c r="EB35" s="121"/>
      <c r="EC35" s="128"/>
      <c r="ED35" s="128"/>
      <c r="EE35" s="128"/>
      <c r="EF35" s="13"/>
      <c r="EG35" s="13"/>
      <c r="EI35" s="152"/>
    </row>
    <row r="36" spans="1:139" x14ac:dyDescent="0.2">
      <c r="A36" s="7">
        <v>33</v>
      </c>
      <c r="B36" s="119" t="s">
        <v>460</v>
      </c>
      <c r="C36" s="9" t="s">
        <v>5</v>
      </c>
      <c r="D36" s="9" t="s">
        <v>51</v>
      </c>
      <c r="E36" s="10">
        <v>0</v>
      </c>
      <c r="F36" s="10">
        <v>0</v>
      </c>
      <c r="G36" s="9">
        <f t="shared" ref="G36:G67" si="12">COUNT(I36:CZ36)</f>
        <v>1</v>
      </c>
      <c r="H36" s="93">
        <v>0</v>
      </c>
      <c r="I36" s="46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96"/>
      <c r="U36" s="297"/>
      <c r="V36" s="298"/>
      <c r="W36" s="11"/>
      <c r="X36" s="96"/>
      <c r="Y36" s="96"/>
      <c r="Z36" s="96"/>
      <c r="AA36" s="96"/>
      <c r="AB36" s="96"/>
      <c r="AC36" s="96"/>
      <c r="AD36" s="96"/>
      <c r="AE36" s="96"/>
      <c r="AF36" s="110"/>
      <c r="AG36" s="25"/>
      <c r="AH36" s="25"/>
      <c r="AI36" s="25"/>
      <c r="AJ36" s="25"/>
      <c r="AK36" s="25"/>
      <c r="AL36" s="25"/>
      <c r="AM36" s="25"/>
      <c r="AN36" s="250"/>
      <c r="AO36" s="25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96"/>
      <c r="BA36" s="11"/>
      <c r="BB36" s="11"/>
      <c r="BC36" s="96"/>
      <c r="BD36" s="25"/>
      <c r="BE36" s="111"/>
      <c r="BF36" s="25"/>
      <c r="BG36" s="25">
        <f>(INDEX('Race 51'!$E$8:$E$200,(MATCH($B36,'Race 51'!$B$8:$B$200,0)),1))*100</f>
        <v>46.040483455253636</v>
      </c>
      <c r="BH36" s="11"/>
      <c r="BI36" s="11"/>
      <c r="BJ36" s="11"/>
      <c r="BK36" s="11"/>
      <c r="BL36" s="11"/>
      <c r="BM36" s="11"/>
      <c r="BN36" s="96"/>
      <c r="BO36" s="11"/>
      <c r="BP36" s="11"/>
      <c r="BQ36" s="11"/>
      <c r="BR36" s="11"/>
      <c r="BS36" s="11"/>
      <c r="BT36" s="11"/>
      <c r="BU36" s="11"/>
      <c r="BV36" s="11"/>
      <c r="BW36" s="96"/>
      <c r="BX36" s="11"/>
      <c r="BY36" s="11"/>
      <c r="BZ36" s="11"/>
      <c r="CA36" s="11"/>
      <c r="CB36" s="11"/>
      <c r="CC36" s="11"/>
      <c r="CD36" s="11"/>
      <c r="CE36" s="11"/>
      <c r="CF36" s="11"/>
      <c r="CG36" s="96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96"/>
      <c r="CY36" s="96"/>
      <c r="CZ36" s="11"/>
      <c r="DA36" s="26">
        <f t="shared" ref="DA36:DA67" si="13">IF(DC36&gt;0,AVERAGE(I36:CZ36),H36)</f>
        <v>46.040483455253636</v>
      </c>
      <c r="DB36" s="53" t="str">
        <f t="shared" ref="DB36:DB67" si="14">B36</f>
        <v>Dabkowska, Maggie</v>
      </c>
      <c r="DC36" s="68">
        <f t="shared" ref="DC36:DC67" si="15">IF(G36&gt;0,1,0)</f>
        <v>1</v>
      </c>
      <c r="DD36" s="62">
        <v>0</v>
      </c>
      <c r="DE36" s="209">
        <f t="shared" ref="DE36:DE67" si="16">DM36</f>
        <v>45.239740056257872</v>
      </c>
      <c r="DF36" s="115">
        <f t="shared" si="11"/>
        <v>0</v>
      </c>
      <c r="DG36" s="4">
        <f t="shared" ref="DG36:DG67" si="17">COUNT(I36:AT36)</f>
        <v>0</v>
      </c>
      <c r="DH36" s="115">
        <f t="shared" ref="DH36:DH67" si="18">COUNT(I36:CZ36)</f>
        <v>1</v>
      </c>
      <c r="DI36" s="115" t="str">
        <f t="shared" ref="DI36:DI67" si="19">D36</f>
        <v>WI</v>
      </c>
      <c r="DJ36" s="62">
        <f>IF(COUNT(I36:U36)&lt;5,DA36,SUMPRODUCT(LARGE(I36:U36,{1,2,3,4,5}))/5)</f>
        <v>46.040483455253636</v>
      </c>
      <c r="DK36" s="62">
        <f>IF(COUNT(I36:AN36)&lt;5,DA36,SUMPRODUCT(LARGE(I36:AN36,{1,2,3,4,5}))/5)</f>
        <v>46.040483455253636</v>
      </c>
      <c r="DL36" s="209">
        <f>IF(COUNT(J36:CZ36)&lt;5,AVERAGE(J36:CZ36),SUMPRODUCT(LARGE(J36:CZ36,{1,2,3,4,5}))/5)</f>
        <v>46.040483455253636</v>
      </c>
      <c r="DM36" s="62">
        <f t="shared" si="10"/>
        <v>45.239740056257872</v>
      </c>
      <c r="DN36" s="13" t="str">
        <f t="shared" ref="DN36:DN67" si="20">B36</f>
        <v>Dabkowska, Maggie</v>
      </c>
      <c r="DO36" s="7">
        <v>33</v>
      </c>
      <c r="DP36" s="8"/>
      <c r="DQ36" s="9"/>
      <c r="DR36" s="9"/>
      <c r="DS36" s="121"/>
      <c r="DT36" s="128"/>
      <c r="DU36" s="128"/>
      <c r="DV36" s="128"/>
      <c r="DW36" s="13"/>
      <c r="DX36" s="7"/>
      <c r="DY36" s="119"/>
      <c r="DZ36" s="9"/>
      <c r="EA36" s="9"/>
      <c r="EB36" s="121"/>
      <c r="EC36" s="128"/>
      <c r="ED36" s="128"/>
      <c r="EE36" s="128"/>
      <c r="EF36" s="13"/>
      <c r="EG36" s="13"/>
      <c r="EI36" s="152"/>
    </row>
    <row r="37" spans="1:139" x14ac:dyDescent="0.2">
      <c r="A37" s="7">
        <v>34</v>
      </c>
      <c r="B37" s="119" t="s">
        <v>308</v>
      </c>
      <c r="C37" s="9" t="s">
        <v>5</v>
      </c>
      <c r="D37" s="9" t="s">
        <v>31</v>
      </c>
      <c r="E37" s="10">
        <v>26.567025136693566</v>
      </c>
      <c r="F37" s="10">
        <v>26.567025136693566</v>
      </c>
      <c r="G37" s="9">
        <f t="shared" si="12"/>
        <v>0</v>
      </c>
      <c r="H37" s="93">
        <v>26.567025136693566</v>
      </c>
      <c r="I37" s="46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96"/>
      <c r="U37" s="297"/>
      <c r="V37" s="298"/>
      <c r="W37" s="11"/>
      <c r="X37" s="96"/>
      <c r="Y37" s="96"/>
      <c r="Z37" s="96"/>
      <c r="AA37" s="96"/>
      <c r="AB37" s="96"/>
      <c r="AC37" s="96"/>
      <c r="AD37" s="96"/>
      <c r="AE37" s="96"/>
      <c r="AF37" s="110"/>
      <c r="AG37" s="25"/>
      <c r="AH37" s="25"/>
      <c r="AI37" s="25"/>
      <c r="AJ37" s="25"/>
      <c r="AK37" s="25"/>
      <c r="AL37" s="25"/>
      <c r="AM37" s="25"/>
      <c r="AN37" s="250"/>
      <c r="AO37" s="25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96"/>
      <c r="BA37" s="11"/>
      <c r="BB37" s="11"/>
      <c r="BC37" s="96"/>
      <c r="BD37" s="11"/>
      <c r="BE37" s="111"/>
      <c r="BF37" s="11"/>
      <c r="BG37" s="25"/>
      <c r="BH37" s="11"/>
      <c r="BI37" s="25"/>
      <c r="BJ37" s="11"/>
      <c r="BK37" s="11"/>
      <c r="BL37" s="11"/>
      <c r="BM37" s="11"/>
      <c r="BN37" s="96"/>
      <c r="BO37" s="11"/>
      <c r="BP37" s="11"/>
      <c r="BQ37" s="11"/>
      <c r="BR37" s="11"/>
      <c r="BS37" s="11"/>
      <c r="BT37" s="11"/>
      <c r="BU37" s="11"/>
      <c r="BV37" s="11"/>
      <c r="BW37" s="96"/>
      <c r="BX37" s="11"/>
      <c r="BY37" s="11"/>
      <c r="BZ37" s="11"/>
      <c r="CA37" s="11"/>
      <c r="CB37" s="11"/>
      <c r="CC37" s="11"/>
      <c r="CD37" s="11"/>
      <c r="CE37" s="11"/>
      <c r="CF37" s="11"/>
      <c r="CG37" s="96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96"/>
      <c r="CY37" s="96"/>
      <c r="CZ37" s="11"/>
      <c r="DA37" s="26">
        <f t="shared" si="13"/>
        <v>26.567025136693566</v>
      </c>
      <c r="DB37" s="53" t="str">
        <f t="shared" si="14"/>
        <v>Dalquist, Corrina</v>
      </c>
      <c r="DC37" s="68">
        <f t="shared" si="15"/>
        <v>0</v>
      </c>
      <c r="DD37" s="62">
        <v>26.567025136693566</v>
      </c>
      <c r="DE37" s="209">
        <f t="shared" si="16"/>
        <v>0</v>
      </c>
      <c r="DF37" s="115">
        <f t="shared" si="11"/>
        <v>0</v>
      </c>
      <c r="DG37" s="4">
        <f t="shared" si="17"/>
        <v>0</v>
      </c>
      <c r="DH37" s="115">
        <f t="shared" si="18"/>
        <v>0</v>
      </c>
      <c r="DI37" s="115" t="str">
        <f t="shared" si="19"/>
        <v>MN</v>
      </c>
      <c r="DJ37" s="62">
        <f>IF(COUNT(I37:U37)&lt;5,DA37,SUMPRODUCT(LARGE(I37:U37,{1,2,3,4,5}))/5)</f>
        <v>26.567025136693566</v>
      </c>
      <c r="DK37" s="62">
        <f>IF(COUNT(I37:AN37)&lt;5,DA37,SUMPRODUCT(LARGE(I37:AN37,{1,2,3,4,5}))/5)</f>
        <v>26.567025136693566</v>
      </c>
      <c r="DL37" s="209">
        <f>IF(COUNT(J37:CZ37)=0,0,SUMPRODUCT(LARGE(J37:CZ37,{1,2,3,4,5}))/5)</f>
        <v>0</v>
      </c>
      <c r="DM37" s="62">
        <f t="shared" si="10"/>
        <v>0</v>
      </c>
      <c r="DN37" s="13" t="str">
        <f t="shared" si="20"/>
        <v>Dalquist, Corrina</v>
      </c>
      <c r="DO37" s="7">
        <v>34</v>
      </c>
      <c r="DP37" s="16"/>
      <c r="DQ37" s="9"/>
      <c r="DR37" s="9"/>
      <c r="DS37" s="122"/>
      <c r="DT37" s="129"/>
      <c r="DU37" s="129"/>
      <c r="DV37" s="129"/>
      <c r="DW37" s="13"/>
      <c r="DX37" s="7"/>
      <c r="DY37" s="16"/>
      <c r="DZ37" s="9"/>
      <c r="EA37" s="9"/>
      <c r="EB37" s="140"/>
      <c r="EC37" s="26"/>
      <c r="ED37" s="129"/>
      <c r="EE37" s="129"/>
      <c r="EF37" s="13"/>
      <c r="EG37" s="13"/>
      <c r="EI37" s="152"/>
    </row>
    <row r="38" spans="1:139" x14ac:dyDescent="0.2">
      <c r="A38" s="7">
        <v>35</v>
      </c>
      <c r="B38" s="119" t="s">
        <v>269</v>
      </c>
      <c r="C38" s="9" t="s">
        <v>6</v>
      </c>
      <c r="D38" s="9" t="s">
        <v>30</v>
      </c>
      <c r="E38" s="10">
        <v>62.919807974680232</v>
      </c>
      <c r="F38" s="10">
        <v>62.919807974680232</v>
      </c>
      <c r="G38" s="9">
        <f t="shared" si="12"/>
        <v>0</v>
      </c>
      <c r="H38" s="93">
        <v>62.919807974680232</v>
      </c>
      <c r="I38" s="46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96"/>
      <c r="U38" s="297"/>
      <c r="V38" s="298"/>
      <c r="W38" s="11"/>
      <c r="X38" s="96"/>
      <c r="Y38" s="96"/>
      <c r="Z38" s="96"/>
      <c r="AA38" s="96"/>
      <c r="AB38" s="96"/>
      <c r="AC38" s="96"/>
      <c r="AD38" s="96"/>
      <c r="AE38" s="96"/>
      <c r="AF38" s="110"/>
      <c r="AG38" s="25"/>
      <c r="AH38" s="25"/>
      <c r="AI38" s="25"/>
      <c r="AJ38" s="25"/>
      <c r="AK38" s="25"/>
      <c r="AL38" s="25"/>
      <c r="AM38" s="25"/>
      <c r="AN38" s="250"/>
      <c r="AO38" s="251"/>
      <c r="AP38" s="11"/>
      <c r="AQ38" s="11"/>
      <c r="AR38" s="79"/>
      <c r="AS38" s="11"/>
      <c r="AT38" s="79"/>
      <c r="AU38" s="11"/>
      <c r="AV38" s="11"/>
      <c r="AW38" s="11"/>
      <c r="AX38" s="11"/>
      <c r="AY38" s="11"/>
      <c r="AZ38" s="96"/>
      <c r="BA38" s="11"/>
      <c r="BB38" s="11"/>
      <c r="BC38" s="96"/>
      <c r="BD38" s="25"/>
      <c r="BE38" s="111"/>
      <c r="BF38" s="25"/>
      <c r="BG38" s="25"/>
      <c r="BH38" s="11"/>
      <c r="BI38" s="25"/>
      <c r="BJ38" s="11"/>
      <c r="BK38" s="11"/>
      <c r="BL38" s="11"/>
      <c r="BM38" s="11"/>
      <c r="BN38" s="96"/>
      <c r="BO38" s="11"/>
      <c r="BP38" s="11"/>
      <c r="BQ38" s="11"/>
      <c r="BR38" s="11"/>
      <c r="BS38" s="11"/>
      <c r="BT38" s="11"/>
      <c r="BU38" s="11"/>
      <c r="BV38" s="11"/>
      <c r="BW38" s="96"/>
      <c r="BX38" s="11"/>
      <c r="BY38" s="11"/>
      <c r="BZ38" s="11"/>
      <c r="CA38" s="11"/>
      <c r="CB38" s="11"/>
      <c r="CC38" s="11"/>
      <c r="CD38" s="11"/>
      <c r="CE38" s="11"/>
      <c r="CF38" s="11"/>
      <c r="CG38" s="96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96"/>
      <c r="CY38" s="96"/>
      <c r="CZ38" s="11"/>
      <c r="DA38" s="26">
        <f t="shared" si="13"/>
        <v>62.919807974680232</v>
      </c>
      <c r="DB38" s="53" t="str">
        <f t="shared" si="14"/>
        <v>Daniels, Alyeska</v>
      </c>
      <c r="DC38" s="68">
        <f t="shared" si="15"/>
        <v>0</v>
      </c>
      <c r="DD38" s="62">
        <v>62.919807974680232</v>
      </c>
      <c r="DE38" s="209">
        <f t="shared" si="16"/>
        <v>0</v>
      </c>
      <c r="DF38" s="115">
        <f t="shared" si="11"/>
        <v>0</v>
      </c>
      <c r="DG38" s="4">
        <f t="shared" si="17"/>
        <v>0</v>
      </c>
      <c r="DH38" s="115">
        <f t="shared" si="18"/>
        <v>0</v>
      </c>
      <c r="DI38" s="115" t="str">
        <f t="shared" si="19"/>
        <v>AK</v>
      </c>
      <c r="DJ38" s="62">
        <f>IF(COUNT(I38:U38)&lt;5,DA38,SUMPRODUCT(LARGE(I38:U38,{1,2,3,4,5}))/5)</f>
        <v>62.919807974680232</v>
      </c>
      <c r="DK38" s="62">
        <f>IF(COUNT(I38:AN38)&lt;5,DA38,SUMPRODUCT(LARGE(I38:AN38,{1,2,3,4,5}))/5)</f>
        <v>62.919807974680232</v>
      </c>
      <c r="DL38" s="209">
        <f>IF(COUNT(J38:CZ38)=0,0,SUMPRODUCT(LARGE(J38:CZ38,{1,2,3,4,5}))/5)</f>
        <v>0</v>
      </c>
      <c r="DM38" s="62">
        <f t="shared" si="10"/>
        <v>0</v>
      </c>
      <c r="DN38" s="13" t="str">
        <f t="shared" si="20"/>
        <v>Daniels, Alyeska</v>
      </c>
      <c r="DO38" s="7">
        <v>35</v>
      </c>
      <c r="DP38" s="16"/>
      <c r="DQ38" s="9"/>
      <c r="DR38" s="9"/>
      <c r="DS38" s="139"/>
      <c r="DT38" s="15"/>
      <c r="DU38" s="128"/>
      <c r="DV38" s="128"/>
      <c r="DW38" s="13"/>
      <c r="DX38" s="7"/>
      <c r="DY38" s="16"/>
      <c r="DZ38" s="9"/>
      <c r="EA38" s="9"/>
      <c r="EB38" s="139"/>
      <c r="EC38" s="15"/>
      <c r="ED38" s="128"/>
      <c r="EE38" s="128"/>
      <c r="EF38" s="13"/>
      <c r="EG38" s="13"/>
      <c r="EI38" s="152"/>
    </row>
    <row r="39" spans="1:139" x14ac:dyDescent="0.2">
      <c r="A39" s="7">
        <v>36</v>
      </c>
      <c r="B39" s="119" t="s">
        <v>368</v>
      </c>
      <c r="C39" s="9" t="s">
        <v>6</v>
      </c>
      <c r="D39" s="9" t="s">
        <v>30</v>
      </c>
      <c r="E39" s="10">
        <v>59.544368595888201</v>
      </c>
      <c r="F39" s="10">
        <v>59.544368595888201</v>
      </c>
      <c r="G39" s="9">
        <f t="shared" si="12"/>
        <v>2</v>
      </c>
      <c r="H39" s="93">
        <v>0</v>
      </c>
      <c r="I39" s="46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>
        <f>(INDEX('Race 12'!$E$8:$E$200,(MATCH($B39,'Race 12'!$B$8:$B$200,0)),1))*100</f>
        <v>58.796480773716141</v>
      </c>
      <c r="U39" s="297">
        <f>(INDEX('Race 13'!$E$8:$E$200,(MATCH($B39,'Race 13'!$B$8:$B$200,0)),1))*100</f>
        <v>60.292256418060255</v>
      </c>
      <c r="V39" s="298"/>
      <c r="W39" s="11"/>
      <c r="X39" s="96"/>
      <c r="Y39" s="96"/>
      <c r="Z39" s="96"/>
      <c r="AA39" s="96"/>
      <c r="AB39" s="96"/>
      <c r="AC39" s="96"/>
      <c r="AD39" s="96"/>
      <c r="AE39" s="96"/>
      <c r="AF39" s="110"/>
      <c r="AG39" s="25"/>
      <c r="AH39" s="11"/>
      <c r="AI39" s="25"/>
      <c r="AJ39" s="25"/>
      <c r="AK39" s="11"/>
      <c r="AL39" s="25"/>
      <c r="AM39" s="11"/>
      <c r="AN39" s="250"/>
      <c r="AO39" s="251"/>
      <c r="AP39" s="11"/>
      <c r="AQ39" s="11"/>
      <c r="AR39" s="79"/>
      <c r="AS39" s="11"/>
      <c r="AT39" s="79"/>
      <c r="AU39" s="11"/>
      <c r="AV39" s="11"/>
      <c r="AW39" s="11"/>
      <c r="AX39" s="11"/>
      <c r="AY39" s="11"/>
      <c r="AZ39" s="96"/>
      <c r="BA39" s="11"/>
      <c r="BB39" s="11"/>
      <c r="BC39" s="96"/>
      <c r="BD39" s="25"/>
      <c r="BE39" s="111"/>
      <c r="BF39" s="25"/>
      <c r="BG39" s="25"/>
      <c r="BH39" s="11"/>
      <c r="BI39" s="11"/>
      <c r="BJ39" s="11"/>
      <c r="BK39" s="11"/>
      <c r="BL39" s="11"/>
      <c r="BM39" s="11"/>
      <c r="BN39" s="96"/>
      <c r="BO39" s="11"/>
      <c r="BP39" s="11"/>
      <c r="BQ39" s="11"/>
      <c r="BR39" s="11"/>
      <c r="BS39" s="11"/>
      <c r="BT39" s="11"/>
      <c r="BU39" s="11"/>
      <c r="BV39" s="11"/>
      <c r="BW39" s="96"/>
      <c r="BX39" s="11"/>
      <c r="BY39" s="11"/>
      <c r="BZ39" s="11"/>
      <c r="CA39" s="11"/>
      <c r="CB39" s="11"/>
      <c r="CC39" s="11"/>
      <c r="CD39" s="11"/>
      <c r="CE39" s="11"/>
      <c r="CF39" s="11"/>
      <c r="CG39" s="96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96"/>
      <c r="CY39" s="96"/>
      <c r="CZ39" s="11"/>
      <c r="DA39" s="26">
        <f t="shared" si="13"/>
        <v>59.544368595888201</v>
      </c>
      <c r="DB39" s="53" t="str">
        <f t="shared" si="14"/>
        <v>Darrow, Eloise</v>
      </c>
      <c r="DC39" s="68">
        <f t="shared" si="15"/>
        <v>1</v>
      </c>
      <c r="DD39" s="62">
        <v>66.367715995604314</v>
      </c>
      <c r="DE39" s="209">
        <f t="shared" si="16"/>
        <v>58.508763482252334</v>
      </c>
      <c r="DF39" s="115">
        <f t="shared" si="11"/>
        <v>2</v>
      </c>
      <c r="DG39" s="4">
        <f t="shared" si="17"/>
        <v>2</v>
      </c>
      <c r="DH39" s="115">
        <f t="shared" si="18"/>
        <v>2</v>
      </c>
      <c r="DI39" s="115" t="str">
        <f t="shared" si="19"/>
        <v>AK</v>
      </c>
      <c r="DJ39" s="62">
        <f>IF(COUNT(I39:U39)&lt;5,DA39,SUMPRODUCT(LARGE(I39:U39,{1,2,3,4,5}))/5)</f>
        <v>59.544368595888201</v>
      </c>
      <c r="DK39" s="62">
        <f>IF(COUNT(I39:AN39)&lt;5,DA39,SUMPRODUCT(LARGE(I39:AN39,{1,2,3,4,5}))/5)</f>
        <v>59.544368595888201</v>
      </c>
      <c r="DL39" s="209">
        <f>IF(COUNT(J39:CZ39)&lt;5,AVERAGE(J39:CZ39),SUMPRODUCT(LARGE(J39:CZ39,{1,2,3,4,5}))/5)</f>
        <v>59.544368595888201</v>
      </c>
      <c r="DM39" s="62">
        <f t="shared" si="10"/>
        <v>58.508763482252334</v>
      </c>
      <c r="DN39" s="13" t="str">
        <f t="shared" si="20"/>
        <v>Darrow, Eloise</v>
      </c>
      <c r="DO39" s="7">
        <v>36</v>
      </c>
      <c r="DP39" s="8"/>
      <c r="DQ39" s="9"/>
      <c r="DR39" s="9"/>
      <c r="DS39" s="121"/>
      <c r="DT39" s="128"/>
      <c r="DU39" s="128"/>
      <c r="DV39" s="128"/>
      <c r="DW39" s="13"/>
      <c r="DX39" s="7"/>
      <c r="DY39" s="8"/>
      <c r="DZ39" s="9"/>
      <c r="EA39" s="9"/>
      <c r="EB39" s="121"/>
      <c r="EC39" s="128"/>
      <c r="ED39" s="128"/>
      <c r="EE39" s="128"/>
      <c r="EF39" s="13"/>
      <c r="EG39" s="13"/>
      <c r="EI39" s="152"/>
    </row>
    <row r="40" spans="1:139" x14ac:dyDescent="0.2">
      <c r="A40" s="7">
        <v>37</v>
      </c>
      <c r="B40" s="119" t="s">
        <v>276</v>
      </c>
      <c r="C40" s="9" t="s">
        <v>5</v>
      </c>
      <c r="D40" s="9" t="s">
        <v>35</v>
      </c>
      <c r="E40" s="10">
        <v>48.209769937096013</v>
      </c>
      <c r="F40" s="10">
        <v>51.925240638313682</v>
      </c>
      <c r="G40" s="9">
        <f t="shared" si="12"/>
        <v>4</v>
      </c>
      <c r="H40" s="93">
        <v>48.209769937096013</v>
      </c>
      <c r="I40" s="46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96"/>
      <c r="U40" s="297"/>
      <c r="V40" s="298"/>
      <c r="W40" s="11"/>
      <c r="X40" s="96"/>
      <c r="Y40" s="96"/>
      <c r="Z40" s="96"/>
      <c r="AA40" s="96"/>
      <c r="AB40" s="96"/>
      <c r="AC40" s="96"/>
      <c r="AD40" s="96"/>
      <c r="AE40" s="96"/>
      <c r="AF40" s="96"/>
      <c r="AG40" s="25"/>
      <c r="AH40" s="25"/>
      <c r="AI40" s="25"/>
      <c r="AJ40" s="25"/>
      <c r="AK40" s="25"/>
      <c r="AL40" s="25"/>
      <c r="AM40" s="25">
        <f>(INDEX('Race 31'!$E$8:$E$200,(MATCH($B40,'Race 31'!$B$8:$B$200,0)),1))*100</f>
        <v>49.83338026848724</v>
      </c>
      <c r="AN40" s="250">
        <f>(INDEX('Race 32'!$E$8:$E$200,(MATCH($B40,'Race 32'!$B$8:$B$200,0)),1))*100</f>
        <v>54.017101008140131</v>
      </c>
      <c r="AO40" s="251"/>
      <c r="AP40" s="11"/>
      <c r="AQ40" s="11"/>
      <c r="AR40" s="79"/>
      <c r="AS40" s="11"/>
      <c r="AT40" s="79"/>
      <c r="AU40" s="11"/>
      <c r="AV40" s="11"/>
      <c r="AW40" s="11"/>
      <c r="AX40" s="11"/>
      <c r="AY40" s="11"/>
      <c r="AZ40" s="96"/>
      <c r="BA40" s="11"/>
      <c r="BB40" s="11"/>
      <c r="BC40" s="96"/>
      <c r="BD40" s="11"/>
      <c r="BE40" s="96"/>
      <c r="BF40" s="11"/>
      <c r="BG40" s="11"/>
      <c r="BH40" s="11">
        <f>(INDEX('Race 52'!$E$8:$E$200,(MATCH($B40,'Race 52'!$B$8:$B$200,0)),1))*100</f>
        <v>51.991006993084873</v>
      </c>
      <c r="BI40" s="11">
        <f>(INDEX('Race 53'!$E$8:$E$200,(MATCH($B40,'Race 53'!$B$8:$B$200,0)),1))*100</f>
        <v>55.781093756026699</v>
      </c>
      <c r="BJ40" s="11"/>
      <c r="BK40" s="11"/>
      <c r="BL40" s="11"/>
      <c r="BM40" s="11"/>
      <c r="BN40" s="96"/>
      <c r="BO40" s="11"/>
      <c r="BP40" s="11"/>
      <c r="BQ40" s="11"/>
      <c r="BR40" s="11"/>
      <c r="BS40" s="11"/>
      <c r="BT40" s="11"/>
      <c r="BU40" s="11"/>
      <c r="BV40" s="11"/>
      <c r="BW40" s="96"/>
      <c r="BX40" s="11"/>
      <c r="BY40" s="11"/>
      <c r="BZ40" s="11"/>
      <c r="CA40" s="11"/>
      <c r="CB40" s="11"/>
      <c r="CC40" s="11"/>
      <c r="CD40" s="11"/>
      <c r="CE40" s="11"/>
      <c r="CF40" s="11"/>
      <c r="CG40" s="96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96"/>
      <c r="CY40" s="96"/>
      <c r="CZ40" s="11"/>
      <c r="DA40" s="26">
        <f t="shared" si="13"/>
        <v>52.905645506434738</v>
      </c>
      <c r="DB40" s="42" t="str">
        <f t="shared" si="14"/>
        <v>DELLINGER, Chelsee</v>
      </c>
      <c r="DC40" s="43">
        <f t="shared" si="15"/>
        <v>1</v>
      </c>
      <c r="DD40" s="62">
        <v>48.209769937096013</v>
      </c>
      <c r="DE40" s="62">
        <f t="shared" si="16"/>
        <v>51.985502118929688</v>
      </c>
      <c r="DF40" s="4">
        <f t="shared" si="11"/>
        <v>0</v>
      </c>
      <c r="DG40" s="4">
        <f t="shared" si="17"/>
        <v>2</v>
      </c>
      <c r="DH40" s="4">
        <f t="shared" si="18"/>
        <v>4</v>
      </c>
      <c r="DI40" s="4" t="str">
        <f t="shared" si="19"/>
        <v>WY</v>
      </c>
      <c r="DJ40" s="62">
        <f>IF(COUNT(I40:U40)&lt;5,DA40,SUMPRODUCT(LARGE(I40:U40,{1,2,3,4,5}))/5)</f>
        <v>52.905645506434738</v>
      </c>
      <c r="DK40" s="62">
        <f>IF(COUNT(I40:AN40)&lt;5,DA40,SUMPRODUCT(LARGE(I40:AN40,{1,2,3,4,5}))/5)</f>
        <v>52.905645506434738</v>
      </c>
      <c r="DL40" s="62">
        <f>IF(COUNT(J40:CZ40)&lt;5,AVERAGE(J40:CZ40),SUMPRODUCT(LARGE(J40:CZ40,{1,2,3,4,5}))/5)</f>
        <v>52.905645506434738</v>
      </c>
      <c r="DM40" s="62">
        <f t="shared" si="10"/>
        <v>51.985502118929688</v>
      </c>
      <c r="DN40" s="13" t="str">
        <f t="shared" si="20"/>
        <v>DELLINGER, Chelsee</v>
      </c>
      <c r="DO40" s="133">
        <v>37</v>
      </c>
      <c r="DP40" s="17"/>
      <c r="DQ40" s="12"/>
      <c r="DR40" s="12"/>
      <c r="DS40" s="134"/>
      <c r="DT40" s="135"/>
      <c r="DU40" s="205"/>
      <c r="DV40" s="205"/>
      <c r="DW40" s="13"/>
      <c r="DX40" s="7"/>
      <c r="DY40" s="16"/>
      <c r="DZ40" s="9"/>
      <c r="EA40" s="9"/>
      <c r="EB40" s="121"/>
      <c r="EC40" s="128"/>
      <c r="ED40" s="128"/>
      <c r="EE40" s="128"/>
      <c r="EF40" s="13"/>
      <c r="EG40" s="13"/>
      <c r="EI40" s="152"/>
    </row>
    <row r="41" spans="1:139" x14ac:dyDescent="0.2">
      <c r="A41" s="7">
        <v>38</v>
      </c>
      <c r="B41" s="8" t="s">
        <v>215</v>
      </c>
      <c r="C41" s="9" t="s">
        <v>5</v>
      </c>
      <c r="D41" s="9" t="s">
        <v>36</v>
      </c>
      <c r="E41" s="10">
        <v>87.292937793180371</v>
      </c>
      <c r="F41" s="10">
        <v>87.292937793180371</v>
      </c>
      <c r="G41" s="9">
        <f t="shared" si="12"/>
        <v>4</v>
      </c>
      <c r="H41" s="93">
        <v>88.167947414731699</v>
      </c>
      <c r="I41" s="46"/>
      <c r="J41" s="11"/>
      <c r="K41" s="11"/>
      <c r="L41" s="96"/>
      <c r="M41" s="11"/>
      <c r="N41" s="11"/>
      <c r="O41" s="11">
        <f>(INDEX('Race 7'!$E$8:$E$200,(MATCH($B41,'Race 7'!$B$8:$B$200,0)),1))*100</f>
        <v>88.481893054284981</v>
      </c>
      <c r="P41" s="11">
        <f>(INDEX('Race 8'!$E$8:$E$200,(MATCH($B41,'Race 8'!$B$8:$B$200,0)),1))*100</f>
        <v>87.699035833818698</v>
      </c>
      <c r="Q41" s="11">
        <f>(INDEX('Race 9'!$E$8:$E$200,(MATCH($B41,'Race 9'!$B$8:$B$200,0)),1))*100</f>
        <v>85.812996143863415</v>
      </c>
      <c r="R41" s="11">
        <f>(INDEX('Race 10'!$E$8:$E$200,(MATCH($B41,'Race 10'!$B$8:$B$200,0)),1))*100</f>
        <v>87.177826140754405</v>
      </c>
      <c r="S41" s="11"/>
      <c r="T41" s="11"/>
      <c r="U41" s="297"/>
      <c r="V41" s="298"/>
      <c r="W41" s="11"/>
      <c r="X41" s="96"/>
      <c r="Y41" s="96"/>
      <c r="Z41" s="96"/>
      <c r="AA41" s="96"/>
      <c r="AB41" s="96"/>
      <c r="AC41" s="11"/>
      <c r="AD41" s="11"/>
      <c r="AE41" s="96"/>
      <c r="AF41" s="110"/>
      <c r="AG41" s="111"/>
      <c r="AH41" s="25"/>
      <c r="AI41" s="111"/>
      <c r="AJ41" s="111"/>
      <c r="AK41" s="96"/>
      <c r="AL41" s="111"/>
      <c r="AM41" s="96"/>
      <c r="AN41" s="252"/>
      <c r="AO41" s="251"/>
      <c r="AP41" s="96"/>
      <c r="AQ41" s="96"/>
      <c r="AR41" s="96"/>
      <c r="AS41" s="96"/>
      <c r="AT41" s="96"/>
      <c r="AU41" s="96"/>
      <c r="AV41" s="96"/>
      <c r="AW41" s="11"/>
      <c r="AX41" s="11"/>
      <c r="AY41" s="96"/>
      <c r="AZ41" s="96"/>
      <c r="BA41" s="11"/>
      <c r="BB41" s="11"/>
      <c r="BC41" s="96"/>
      <c r="BD41" s="96"/>
      <c r="BE41" s="96"/>
      <c r="BF41" s="96"/>
      <c r="BG41" s="11"/>
      <c r="BH41" s="96"/>
      <c r="BI41" s="96"/>
      <c r="BJ41" s="96"/>
      <c r="BK41" s="96"/>
      <c r="BL41" s="11"/>
      <c r="BM41" s="11"/>
      <c r="BN41" s="96"/>
      <c r="BO41" s="11"/>
      <c r="BP41" s="96"/>
      <c r="BQ41" s="96"/>
      <c r="BR41" s="96"/>
      <c r="BS41" s="11"/>
      <c r="BT41" s="11"/>
      <c r="BU41" s="11"/>
      <c r="BV41" s="11"/>
      <c r="BW41" s="96"/>
      <c r="BX41" s="96"/>
      <c r="BY41" s="96"/>
      <c r="BZ41" s="96"/>
      <c r="CA41" s="96"/>
      <c r="CB41" s="11"/>
      <c r="CC41" s="11"/>
      <c r="CD41" s="11"/>
      <c r="CE41" s="11"/>
      <c r="CF41" s="96"/>
      <c r="CG41" s="96"/>
      <c r="CH41" s="11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15">
        <f t="shared" si="13"/>
        <v>87.292937793180371</v>
      </c>
      <c r="DB41" s="53" t="str">
        <f t="shared" si="14"/>
        <v>Dickinson, Kelsey</v>
      </c>
      <c r="DC41" s="68">
        <f t="shared" si="15"/>
        <v>1</v>
      </c>
      <c r="DD41" s="62">
        <v>88.167947414731699</v>
      </c>
      <c r="DE41" s="209">
        <f t="shared" si="16"/>
        <v>85.774725157885797</v>
      </c>
      <c r="DF41" s="115">
        <f t="shared" si="11"/>
        <v>4</v>
      </c>
      <c r="DG41" s="4">
        <f t="shared" si="17"/>
        <v>4</v>
      </c>
      <c r="DH41" s="115">
        <f t="shared" si="18"/>
        <v>4</v>
      </c>
      <c r="DI41" s="115" t="str">
        <f t="shared" si="19"/>
        <v>WA</v>
      </c>
      <c r="DJ41" s="62">
        <f>IF(COUNT(I41:U41)&lt;5,DA41,SUMPRODUCT(LARGE(I41:U41,{1,2,3,4,5}))/5)</f>
        <v>87.292937793180371</v>
      </c>
      <c r="DK41" s="62">
        <f>IF(COUNT(I41:AN41)&lt;5,DA41,SUMPRODUCT(LARGE(I41:AN41,{1,2,3,4,5}))/5)</f>
        <v>87.292937793180371</v>
      </c>
      <c r="DL41" s="209">
        <f>IF(COUNT(J41:CZ41)&lt;5,AVERAGE(J41:CZ41),SUMPRODUCT(LARGE(J41:CZ41,{1,2,3,4,5}))/5)</f>
        <v>87.292937793180371</v>
      </c>
      <c r="DM41" s="62">
        <f t="shared" si="10"/>
        <v>85.774725157885797</v>
      </c>
      <c r="DN41" s="13" t="str">
        <f t="shared" si="20"/>
        <v>Dickinson, Kelsey</v>
      </c>
      <c r="DO41" s="21">
        <v>38</v>
      </c>
      <c r="DP41" s="204"/>
      <c r="DQ41" s="23"/>
      <c r="DR41" s="23"/>
      <c r="DS41" s="140"/>
      <c r="DT41" s="26"/>
      <c r="DU41" s="129"/>
      <c r="DV41" s="129"/>
      <c r="DW41" s="13"/>
      <c r="DX41" s="7"/>
      <c r="DY41" s="8"/>
      <c r="DZ41" s="9"/>
      <c r="EA41" s="9"/>
      <c r="EB41" s="121"/>
      <c r="EC41" s="128"/>
      <c r="ED41" s="128"/>
      <c r="EE41" s="128"/>
      <c r="EF41" s="13"/>
      <c r="EG41" s="13"/>
      <c r="EI41" s="152"/>
    </row>
    <row r="42" spans="1:139" x14ac:dyDescent="0.2">
      <c r="A42" s="7">
        <v>39</v>
      </c>
      <c r="B42" s="119" t="s">
        <v>300</v>
      </c>
      <c r="C42" s="9" t="s">
        <v>5</v>
      </c>
      <c r="D42" s="9" t="s">
        <v>43</v>
      </c>
      <c r="E42" s="10">
        <v>48.378659039708005</v>
      </c>
      <c r="F42" s="10">
        <v>48.378659039708005</v>
      </c>
      <c r="G42" s="9">
        <f t="shared" si="12"/>
        <v>2</v>
      </c>
      <c r="H42" s="93">
        <v>48.378659039708005</v>
      </c>
      <c r="I42" s="46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96"/>
      <c r="U42" s="297"/>
      <c r="V42" s="298"/>
      <c r="W42" s="11"/>
      <c r="X42" s="96"/>
      <c r="Y42" s="96"/>
      <c r="Z42" s="96"/>
      <c r="AA42" s="96"/>
      <c r="AB42" s="96"/>
      <c r="AC42" s="96"/>
      <c r="AD42" s="96"/>
      <c r="AE42" s="96"/>
      <c r="AF42" s="110"/>
      <c r="AG42" s="11"/>
      <c r="AH42" s="11"/>
      <c r="AI42" s="11"/>
      <c r="AJ42" s="11"/>
      <c r="AK42" s="11"/>
      <c r="AL42" s="11"/>
      <c r="AM42" s="11"/>
      <c r="AN42" s="250"/>
      <c r="AO42" s="25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96"/>
      <c r="BA42" s="11"/>
      <c r="BB42" s="11"/>
      <c r="BC42" s="96"/>
      <c r="BD42" s="11"/>
      <c r="BE42" s="96"/>
      <c r="BF42" s="11"/>
      <c r="BG42" s="11"/>
      <c r="BH42" s="11">
        <f>(INDEX('Race 52'!$E$8:$E$200,(MATCH($B42,'Race 52'!$B$8:$B$200,0)),1))*100</f>
        <v>42.776049201896782</v>
      </c>
      <c r="BI42" s="11">
        <f>(INDEX('Race 53'!$E$8:$E$200,(MATCH($B42,'Race 53'!$B$8:$B$200,0)),1))*100</f>
        <v>45.930888264409248</v>
      </c>
      <c r="BJ42" s="11"/>
      <c r="BK42" s="11"/>
      <c r="BL42" s="11"/>
      <c r="BM42" s="11"/>
      <c r="BN42" s="96"/>
      <c r="BO42" s="11"/>
      <c r="BP42" s="11"/>
      <c r="BQ42" s="11"/>
      <c r="BR42" s="11"/>
      <c r="BS42" s="11"/>
      <c r="BT42" s="11"/>
      <c r="BU42" s="11"/>
      <c r="BV42" s="11"/>
      <c r="BW42" s="96"/>
      <c r="BX42" s="11"/>
      <c r="BY42" s="11"/>
      <c r="BZ42" s="11"/>
      <c r="CA42" s="11"/>
      <c r="CB42" s="11"/>
      <c r="CC42" s="11"/>
      <c r="CD42" s="11"/>
      <c r="CE42" s="11"/>
      <c r="CF42" s="11"/>
      <c r="CG42" s="96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96"/>
      <c r="CY42" s="96"/>
      <c r="CZ42" s="11"/>
      <c r="DA42" s="26">
        <f t="shared" si="13"/>
        <v>44.353468733153015</v>
      </c>
      <c r="DB42" s="53" t="str">
        <f t="shared" si="14"/>
        <v>Doucette, Rebecca</v>
      </c>
      <c r="DC42" s="68">
        <f t="shared" si="15"/>
        <v>1</v>
      </c>
      <c r="DD42" s="62">
        <v>48.378659039708005</v>
      </c>
      <c r="DE42" s="209">
        <f t="shared" si="16"/>
        <v>43.582066162084125</v>
      </c>
      <c r="DF42" s="115">
        <f t="shared" si="11"/>
        <v>0</v>
      </c>
      <c r="DG42" s="4">
        <f t="shared" si="17"/>
        <v>0</v>
      </c>
      <c r="DH42" s="115">
        <f t="shared" si="18"/>
        <v>2</v>
      </c>
      <c r="DI42" s="115" t="str">
        <f t="shared" si="19"/>
        <v>UT</v>
      </c>
      <c r="DJ42" s="62">
        <f>IF(COUNT(I42:U42)&lt;5,DA42,SUMPRODUCT(LARGE(I42:U42,{1,2,3,4,5}))/5)</f>
        <v>44.353468733153015</v>
      </c>
      <c r="DK42" s="62">
        <f>IF(COUNT(I42:AN42)&lt;5,DA42,SUMPRODUCT(LARGE(I42:AN42,{1,2,3,4,5}))/5)</f>
        <v>44.353468733153015</v>
      </c>
      <c r="DL42" s="209">
        <f>IF(COUNT(J42:CZ42)&lt;5,AVERAGE(J42:CZ42),SUMPRODUCT(LARGE(J42:CZ42,{1,2,3,4,5}))/5)</f>
        <v>44.353468733153015</v>
      </c>
      <c r="DM42" s="62">
        <f t="shared" si="10"/>
        <v>43.582066162084125</v>
      </c>
      <c r="DN42" s="13" t="str">
        <f t="shared" si="20"/>
        <v>Doucette, Rebecca</v>
      </c>
      <c r="DO42" s="7">
        <v>39</v>
      </c>
      <c r="DP42" s="16"/>
      <c r="DQ42" s="9"/>
      <c r="DR42" s="9"/>
      <c r="DS42" s="125"/>
      <c r="DT42" s="132"/>
      <c r="DU42" s="130"/>
      <c r="DV42" s="130"/>
      <c r="DW42" s="13"/>
      <c r="DX42" s="7"/>
      <c r="DY42" s="8"/>
      <c r="DZ42" s="9"/>
      <c r="EA42" s="9"/>
      <c r="EB42" s="123"/>
      <c r="EC42" s="130"/>
      <c r="ED42" s="130"/>
      <c r="EE42" s="130"/>
      <c r="EF42" s="13"/>
      <c r="EG42" s="13"/>
      <c r="EI42" s="152"/>
    </row>
    <row r="43" spans="1:139" x14ac:dyDescent="0.2">
      <c r="A43" s="7">
        <v>40</v>
      </c>
      <c r="B43" s="16" t="s">
        <v>247</v>
      </c>
      <c r="C43" s="9" t="s">
        <v>5</v>
      </c>
      <c r="D43" s="9" t="s">
        <v>32</v>
      </c>
      <c r="E43" s="10">
        <v>93.079404072677221</v>
      </c>
      <c r="F43" s="10">
        <v>94.570492340017523</v>
      </c>
      <c r="G43" s="9">
        <f t="shared" si="12"/>
        <v>16</v>
      </c>
      <c r="H43" s="93">
        <v>89.257976658611497</v>
      </c>
      <c r="I43" s="46"/>
      <c r="J43" s="11">
        <f>(INDEX('Race 2'!$E$8:$E$200,(MATCH($B43,'Race 2'!$B$8:$B$200,0)),1))*100</f>
        <v>94.837611672680495</v>
      </c>
      <c r="K43" s="11">
        <f>(INDEX('Race 3'!$E$8:$E$200,(MATCH($B43,'Race 3'!$B$8:$B$200,0)),1))*100</f>
        <v>93.738190848423159</v>
      </c>
      <c r="L43" s="11">
        <f>(INDEX('Race 4'!$E$8:$E$200,(MATCH($B43,'Race 4'!$B$8:$B$200,0)),1))*100</f>
        <v>93.972884426911321</v>
      </c>
      <c r="M43" s="96"/>
      <c r="N43" s="11">
        <f>(INDEX('Race 6'!$E$8:$E$200,(MATCH($B43,'Race 6'!$B$8:$B$200,0)),1))*100</f>
        <v>89.768929342693951</v>
      </c>
      <c r="O43" s="11"/>
      <c r="P43" s="11"/>
      <c r="Q43" s="11"/>
      <c r="R43" s="11"/>
      <c r="S43" s="11"/>
      <c r="T43" s="11"/>
      <c r="U43" s="297"/>
      <c r="V43" s="298"/>
      <c r="W43" s="11">
        <f>(INDEX('Race 15'!$E$8:$E$200,(MATCH($B43,'Race 15'!$B$8:$B$200,0)),1))*100</f>
        <v>93.597012794350348</v>
      </c>
      <c r="X43" s="11">
        <f>(INDEX('Race 16'!$E$8:$E$200,(MATCH($B43,'Race 16'!$B$8:$B$200,0)),1))*100</f>
        <v>92.348708116237447</v>
      </c>
      <c r="Y43" s="96"/>
      <c r="Z43" s="96"/>
      <c r="AA43" s="11">
        <f>(INDEX('Race 19'!$E$8:$E$200,(MATCH($B43,'Race 19'!$B$8:$B$200,0)),1))*100</f>
        <v>95.956688173935831</v>
      </c>
      <c r="AB43" s="96"/>
      <c r="AC43" s="96"/>
      <c r="AD43" s="96"/>
      <c r="AE43" s="11">
        <f>(INDEX('Race 23'!$E$8:$E$200,(MATCH($B43,'Race 23'!$B$8:$B$200,0)),1))*100</f>
        <v>94.34708657813681</v>
      </c>
      <c r="AF43" s="11">
        <f>(INDEX('Race 24'!$E$8:$E$200,(MATCH($B43,'Race 24'!$B$8:$B$200,0)),1))*100</f>
        <v>91.002235171002283</v>
      </c>
      <c r="AG43" s="111"/>
      <c r="AH43" s="111"/>
      <c r="AI43" s="111"/>
      <c r="AJ43" s="111"/>
      <c r="AK43" s="25"/>
      <c r="AL43" s="111"/>
      <c r="AM43" s="25"/>
      <c r="AN43" s="252"/>
      <c r="AO43" s="251"/>
      <c r="AP43" s="96"/>
      <c r="AQ43" s="96"/>
      <c r="AR43" s="11">
        <f>(INDEX('Race 36'!$E$8:$E$200,(MATCH($B43,'Race 36'!$B$8:$B$200,0)),1))*100</f>
        <v>98.625971738981562</v>
      </c>
      <c r="AS43" s="96"/>
      <c r="AT43" s="11">
        <f>(INDEX('Race 38'!$E$8:$E$200,(MATCH($B43,'Race 38'!$B$8:$B$200,0)),1))*100</f>
        <v>91.159016560066419</v>
      </c>
      <c r="AU43" s="96"/>
      <c r="AV43" s="96"/>
      <c r="AW43" s="11"/>
      <c r="AX43" s="11"/>
      <c r="AY43" s="96"/>
      <c r="AZ43" s="11"/>
      <c r="BA43" s="11"/>
      <c r="BB43" s="11"/>
      <c r="BC43" s="96"/>
      <c r="BD43" s="11"/>
      <c r="BE43" s="96"/>
      <c r="BF43" s="11"/>
      <c r="BG43" s="96"/>
      <c r="BH43" s="96"/>
      <c r="BI43" s="96"/>
      <c r="BJ43" s="11">
        <f>(INDEX('Race 54'!$E$8:$E$200,(MATCH($B43,'Race 54'!$B$8:$B$200,0)),1))*100</f>
        <v>93.817463830409167</v>
      </c>
      <c r="BK43" s="11">
        <f>(INDEX('Race 55'!$E$8:$E$200,(MATCH($B43,'Race 55'!$B$8:$B$200,0)),1))*100</f>
        <v>92.492512939515066</v>
      </c>
      <c r="BL43" s="11"/>
      <c r="BM43" s="11"/>
      <c r="BN43" s="11"/>
      <c r="BO43" s="11">
        <f>(INDEX('Race 59'!$E$8:$E$200,(MATCH($B43,'Race 59'!$B$8:$B$200,0)),1))*100</f>
        <v>93.931880094893856</v>
      </c>
      <c r="BP43" s="96"/>
      <c r="BQ43" s="96">
        <f>(INDEX('Race 61'!$E$8:$E$200,(MATCH($B43,'Race 61'!$B$8:$B$200,0)),1))*100</f>
        <v>93.34193967187278</v>
      </c>
      <c r="BR43" s="11"/>
      <c r="BS43" s="11"/>
      <c r="BT43" s="11"/>
      <c r="BU43" s="11"/>
      <c r="BV43" s="11"/>
      <c r="BW43" s="96">
        <f>(INDEX('Race 67'!$E$8:$E$200,(MATCH($B43,'Race 67'!$B$8:$B$200,0)),1))*100</f>
        <v>95.713963115403601</v>
      </c>
      <c r="BX43" s="96"/>
      <c r="BY43" s="96"/>
      <c r="BZ43" s="96"/>
      <c r="CA43" s="96"/>
      <c r="CB43" s="11"/>
      <c r="CC43" s="96"/>
      <c r="CD43" s="11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26">
        <f t="shared" si="13"/>
        <v>93.665755942219633</v>
      </c>
      <c r="DB43" s="53" t="str">
        <f t="shared" si="14"/>
        <v>Dreissigacker, Emily</v>
      </c>
      <c r="DC43" s="68">
        <f t="shared" si="15"/>
        <v>1</v>
      </c>
      <c r="DD43" s="62">
        <v>89.257976658611497</v>
      </c>
      <c r="DE43" s="209">
        <f t="shared" si="16"/>
        <v>94.228421200577458</v>
      </c>
      <c r="DF43" s="115">
        <f t="shared" si="11"/>
        <v>6</v>
      </c>
      <c r="DG43" s="4">
        <f t="shared" si="17"/>
        <v>11</v>
      </c>
      <c r="DH43" s="115">
        <f t="shared" si="18"/>
        <v>16</v>
      </c>
      <c r="DI43" s="115" t="str">
        <f t="shared" si="19"/>
        <v>VT</v>
      </c>
      <c r="DJ43" s="62">
        <f>IF(COUNT(I43:U43)&lt;5,DA43,SUMPRODUCT(LARGE(I43:U43,{1,2,3,4,5}))/5)</f>
        <v>93.665755942219633</v>
      </c>
      <c r="DK43" s="62">
        <f>IF(COUNT(I43:AN43)&lt;5,DA43,SUMPRODUCT(LARGE(I43:AN43,{1,2,3,4,5}))/5)</f>
        <v>94.570492340017523</v>
      </c>
      <c r="DL43" s="62">
        <f>IF(COUNT(J43:CZ43)&lt;5,AVERAGE(J43:CZ43),SUMPRODUCT(LARGE(J43:CZ43,{1,2,3,4,5}))/5)</f>
        <v>95.896264255827674</v>
      </c>
      <c r="DM43" s="62">
        <f t="shared" si="10"/>
        <v>94.228421200577458</v>
      </c>
      <c r="DN43" s="13" t="str">
        <f t="shared" si="20"/>
        <v>Dreissigacker, Emily</v>
      </c>
      <c r="DO43" s="7">
        <v>40</v>
      </c>
      <c r="DP43" s="16"/>
      <c r="DQ43" s="9"/>
      <c r="DR43" s="9"/>
      <c r="DS43" s="121"/>
      <c r="DT43" s="128"/>
      <c r="DU43" s="128"/>
      <c r="DV43" s="128"/>
      <c r="DW43" s="13"/>
      <c r="DX43" s="7"/>
      <c r="DY43" s="8"/>
      <c r="DZ43" s="9"/>
      <c r="EA43" s="9"/>
      <c r="EB43" s="121"/>
      <c r="EC43" s="128"/>
      <c r="ED43" s="128"/>
      <c r="EE43" s="128"/>
      <c r="EF43" s="13"/>
      <c r="EG43" s="13"/>
      <c r="EI43" s="152"/>
    </row>
    <row r="44" spans="1:139" x14ac:dyDescent="0.2">
      <c r="A44" s="7">
        <v>41</v>
      </c>
      <c r="B44" s="16" t="s">
        <v>58</v>
      </c>
      <c r="C44" s="9" t="s">
        <v>5</v>
      </c>
      <c r="D44" s="9" t="s">
        <v>32</v>
      </c>
      <c r="E44" s="10">
        <v>96.883451688838534</v>
      </c>
      <c r="F44" s="10">
        <v>99.28871437032133</v>
      </c>
      <c r="G44" s="9">
        <f t="shared" si="12"/>
        <v>14</v>
      </c>
      <c r="H44" s="93">
        <v>100.00151622905494</v>
      </c>
      <c r="I44" s="46"/>
      <c r="J44" s="11">
        <f>(INDEX('Race 2'!$E$8:$E$200,(MATCH($B44,'Race 2'!$B$8:$B$200,0)),1))*100</f>
        <v>98.650023019156905</v>
      </c>
      <c r="K44" s="11">
        <f>(INDEX('Race 3'!$E$8:$E$200,(MATCH($B44,'Race 3'!$B$8:$B$200,0)),1))*100</f>
        <v>95.388071740445426</v>
      </c>
      <c r="L44" s="11">
        <f>(INDEX('Race 4'!$E$8:$E$200,(MATCH($B44,'Race 4'!$B$8:$B$200,0)),1))*100</f>
        <v>90.346080224844343</v>
      </c>
      <c r="M44" s="11"/>
      <c r="N44" s="11">
        <f>(INDEX('Race 6'!$E$8:$E$200,(MATCH($B44,'Race 6'!$B$8:$B$200,0)),1))*100</f>
        <v>103.14963177090752</v>
      </c>
      <c r="O44" s="96"/>
      <c r="P44" s="11"/>
      <c r="Q44" s="11"/>
      <c r="R44" s="11"/>
      <c r="S44" s="11"/>
      <c r="T44" s="11"/>
      <c r="U44" s="297"/>
      <c r="V44" s="298">
        <f>(INDEX('Race 14'!$E$8:$E$200,(MATCH($B44,'Race 14'!$B$8:$B$200,0)),1))*100</f>
        <v>99.654091506987712</v>
      </c>
      <c r="W44" s="96"/>
      <c r="X44" s="96"/>
      <c r="Y44" s="11"/>
      <c r="Z44" s="11"/>
      <c r="AA44" s="96"/>
      <c r="AB44" s="11">
        <f>(INDEX('Race 20'!$E$8:$E$200,(MATCH($B44,'Race 20'!$B$8:$B$200,0)),1))*100</f>
        <v>98.082987500301584</v>
      </c>
      <c r="AC44" s="96"/>
      <c r="AD44" s="11"/>
      <c r="AE44" s="11">
        <f>(INDEX('Race 23'!$E$8:$E$200,(MATCH($B44,'Race 23'!$B$8:$B$200,0)),1))*100</f>
        <v>96.906838054252972</v>
      </c>
      <c r="AF44" s="79"/>
      <c r="AG44" s="25"/>
      <c r="AH44" s="25"/>
      <c r="AI44" s="25"/>
      <c r="AJ44" s="25"/>
      <c r="AK44" s="96"/>
      <c r="AL44" s="25"/>
      <c r="AM44" s="96"/>
      <c r="AN44" s="252"/>
      <c r="AO44" s="251"/>
      <c r="AP44" s="96"/>
      <c r="AQ44" s="96"/>
      <c r="AR44" s="11">
        <f>(INDEX('Race 36'!$E$8:$E$200,(MATCH($B44,'Race 36'!$B$8:$B$200,0)),1))*100</f>
        <v>95.510610027592634</v>
      </c>
      <c r="AS44" s="11"/>
      <c r="AT44" s="11">
        <f>(INDEX('Race 38'!$E$8:$E$200,(MATCH($B44,'Race 38'!$B$8:$B$200,0)),1))*100</f>
        <v>101.03196018291325</v>
      </c>
      <c r="AU44" s="11"/>
      <c r="AV44" s="96"/>
      <c r="AW44" s="11"/>
      <c r="AX44" s="11"/>
      <c r="AY44" s="11"/>
      <c r="AZ44" s="96"/>
      <c r="BA44" s="11"/>
      <c r="BB44" s="11"/>
      <c r="BC44" s="96"/>
      <c r="BD44" s="11"/>
      <c r="BE44" s="11"/>
      <c r="BF44" s="11"/>
      <c r="BG44" s="11"/>
      <c r="BH44" s="11"/>
      <c r="BI44" s="96"/>
      <c r="BJ44" s="11">
        <f>(INDEX('Race 54'!$E$8:$E$200,(MATCH($B44,'Race 54'!$B$8:$B$200,0)),1))*100</f>
        <v>97.217456752377402</v>
      </c>
      <c r="BK44" s="11">
        <f>(INDEX('Race 55'!$E$8:$E$200,(MATCH($B44,'Race 55'!$B$8:$B$200,0)),1))*100</f>
        <v>104.2744217440891</v>
      </c>
      <c r="BL44" s="11"/>
      <c r="BM44" s="11"/>
      <c r="BN44" s="11"/>
      <c r="BO44" s="96">
        <f>(INDEX('Race 59'!$E$8:$E$200,(MATCH($B44,'Race 59'!$B$8:$B$200,0)),1))*100</f>
        <v>99.024157843628018</v>
      </c>
      <c r="BP44" s="11"/>
      <c r="BQ44" s="11">
        <f>(INDEX('Race 61'!$E$8:$E$200,(MATCH($B44,'Race 61'!$B$8:$B$200,0)),1))*100</f>
        <v>100.74019926226696</v>
      </c>
      <c r="BR44" s="11"/>
      <c r="BS44" s="11"/>
      <c r="BT44" s="11"/>
      <c r="BU44" s="11"/>
      <c r="BV44" s="11"/>
      <c r="BW44" s="11">
        <f>(INDEX('Race 67'!$E$8:$E$200,(MATCH($B44,'Race 67'!$B$8:$B$200,0)),1))*100</f>
        <v>99.415895540631396</v>
      </c>
      <c r="BX44" s="11"/>
      <c r="BY44" s="11"/>
      <c r="BZ44" s="11"/>
      <c r="CA44" s="11"/>
      <c r="CB44" s="11"/>
      <c r="CC44" s="96"/>
      <c r="CD44" s="11"/>
      <c r="CE44" s="96"/>
      <c r="CF44" s="96"/>
      <c r="CG44" s="96"/>
      <c r="CH44" s="96"/>
      <c r="CI44" s="96"/>
      <c r="CJ44" s="11"/>
      <c r="CK44" s="11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26">
        <f t="shared" si="13"/>
        <v>98.528030369313939</v>
      </c>
      <c r="DB44" s="42" t="str">
        <f t="shared" si="14"/>
        <v>Dunklee, Susan</v>
      </c>
      <c r="DC44" s="43">
        <f t="shared" si="15"/>
        <v>1</v>
      </c>
      <c r="DD44" s="62">
        <v>100.00151622905494</v>
      </c>
      <c r="DE44" s="62">
        <f t="shared" si="16"/>
        <v>100.00005983436465</v>
      </c>
      <c r="DF44" s="4">
        <f t="shared" si="11"/>
        <v>5</v>
      </c>
      <c r="DG44" s="4">
        <f t="shared" si="17"/>
        <v>9</v>
      </c>
      <c r="DH44" s="4">
        <f t="shared" si="18"/>
        <v>14</v>
      </c>
      <c r="DI44" s="4" t="str">
        <f t="shared" si="19"/>
        <v>VT</v>
      </c>
      <c r="DJ44" s="62">
        <f>IF(COUNT(I44:U44)&lt;5,DA44,SUMPRODUCT(LARGE(I44:U44,{1,2,3,4,5}))/5)</f>
        <v>98.528030369313939</v>
      </c>
      <c r="DK44" s="62">
        <f>IF(COUNT(I44:AN44)&lt;5,DA44,SUMPRODUCT(LARGE(I44:AN44,{1,2,3,4,5}))/5)</f>
        <v>99.28871437032133</v>
      </c>
      <c r="DL44" s="62">
        <f>IF(COUNT(I44:CZ44)&lt;5,AVERAGE(I44:CZ44),SUMPRODUCT(LARGE(I44:CZ44,{1,2,3,4,5}))/5)</f>
        <v>101.7700608934329</v>
      </c>
      <c r="DM44" s="62">
        <f t="shared" si="10"/>
        <v>100.00005983436465</v>
      </c>
      <c r="DN44" s="13" t="str">
        <f t="shared" si="20"/>
        <v>Dunklee, Susan</v>
      </c>
      <c r="DO44" s="7">
        <v>41</v>
      </c>
      <c r="DP44" s="16"/>
      <c r="DQ44" s="9"/>
      <c r="DR44" s="9"/>
      <c r="DS44" s="140"/>
      <c r="DT44" s="26"/>
      <c r="DU44" s="129"/>
      <c r="DV44" s="129"/>
      <c r="DW44" s="13"/>
      <c r="DX44" s="7"/>
      <c r="DY44" s="8"/>
      <c r="DZ44" s="9"/>
      <c r="EA44" s="9"/>
      <c r="EB44" s="122"/>
      <c r="EC44" s="129"/>
      <c r="ED44" s="129"/>
      <c r="EE44" s="129"/>
      <c r="EF44" s="13"/>
      <c r="EG44" s="13"/>
      <c r="EI44" s="152"/>
    </row>
    <row r="45" spans="1:139" x14ac:dyDescent="0.2">
      <c r="A45" s="7">
        <v>42</v>
      </c>
      <c r="B45" s="119" t="s">
        <v>221</v>
      </c>
      <c r="C45" s="9" t="s">
        <v>5</v>
      </c>
      <c r="D45" s="9" t="s">
        <v>32</v>
      </c>
      <c r="E45" s="10">
        <v>96.260692556273455</v>
      </c>
      <c r="F45" s="10">
        <v>97.172319392285544</v>
      </c>
      <c r="G45" s="9">
        <f t="shared" si="12"/>
        <v>16</v>
      </c>
      <c r="H45" s="93">
        <v>95.598613577506455</v>
      </c>
      <c r="I45" s="46"/>
      <c r="J45" s="11">
        <f>(INDEX('Race 2'!$E$8:$E$200,(MATCH($B45,'Race 2'!$B$8:$B$200,0)),1))*100</f>
        <v>95.186524254505798</v>
      </c>
      <c r="K45" s="11">
        <f>(INDEX('Race 3'!$E$8:$E$200,(MATCH($B45,'Race 3'!$B$8:$B$200,0)),1))*100</f>
        <v>95.756310770178374</v>
      </c>
      <c r="L45" s="11">
        <f>(INDEX('Race 4'!$E$8:$E$200,(MATCH($B45,'Race 4'!$B$8:$B$200,0)),1))*100</f>
        <v>101.16582349095044</v>
      </c>
      <c r="M45" s="11"/>
      <c r="N45" s="11">
        <f>(INDEX('Race 6'!$E$8:$E$200,(MATCH($B45,'Race 6'!$B$8:$B$200,0)),1))*100</f>
        <v>92.934111709459202</v>
      </c>
      <c r="O45" s="11"/>
      <c r="P45" s="11"/>
      <c r="Q45" s="11"/>
      <c r="R45" s="11"/>
      <c r="S45" s="11"/>
      <c r="T45" s="11"/>
      <c r="U45" s="297"/>
      <c r="V45" s="298">
        <f>(INDEX('Race 14'!$E$8:$E$200,(MATCH($B45,'Race 14'!$B$8:$B$200,0)),1))*100</f>
        <v>93.674970064731156</v>
      </c>
      <c r="W45" s="11"/>
      <c r="X45" s="96"/>
      <c r="Y45" s="96"/>
      <c r="Z45" s="96"/>
      <c r="AA45" s="96"/>
      <c r="AB45" s="11">
        <f>(INDEX('Race 20'!$E$8:$E$200,(MATCH($B45,'Race 20'!$B$8:$B$200,0)),1))*100</f>
        <v>95.107000219415568</v>
      </c>
      <c r="AC45" s="11"/>
      <c r="AD45" s="11"/>
      <c r="AE45" s="11">
        <f>(INDEX('Race 23'!$E$8:$E$200,(MATCH($B45,'Race 23'!$B$8:$B$200,0)),1))*100</f>
        <v>95.006432972250579</v>
      </c>
      <c r="AF45" s="11">
        <f>(INDEX('Race 24'!$E$8:$E$200,(MATCH($B45,'Race 24'!$B$8:$B$200,0)),1))*100</f>
        <v>98.645938226377552</v>
      </c>
      <c r="AG45" s="25"/>
      <c r="AH45" s="25"/>
      <c r="AI45" s="25"/>
      <c r="AJ45" s="25">
        <f>(INDEX('Race 28'!$E$8:$E$200,(MATCH($B45,'Race 28'!$B$8:$B$200,0)),1))*100</f>
        <v>91.154061301166308</v>
      </c>
      <c r="AK45" s="25"/>
      <c r="AL45" s="25"/>
      <c r="AM45" s="25"/>
      <c r="AN45" s="252"/>
      <c r="AO45" s="251"/>
      <c r="AP45" s="11"/>
      <c r="AQ45" s="11"/>
      <c r="AR45" s="11">
        <f>(INDEX('Race 36'!$E$8:$E$200,(MATCH($B45,'Race 36'!$B$8:$B$200,0)),1))*100</f>
        <v>96.9450037937237</v>
      </c>
      <c r="AS45" s="11"/>
      <c r="AT45" s="11">
        <f>(INDEX('Race 38'!$E$8:$E$200,(MATCH($B45,'Race 38'!$B$8:$B$200,0)),1))*100</f>
        <v>91.665455540955676</v>
      </c>
      <c r="AU45" s="11"/>
      <c r="AV45" s="11"/>
      <c r="AW45" s="11"/>
      <c r="AX45" s="11"/>
      <c r="AY45" s="11"/>
      <c r="AZ45" s="11"/>
      <c r="BA45" s="11"/>
      <c r="BB45" s="11"/>
      <c r="BC45" s="96"/>
      <c r="BD45" s="11"/>
      <c r="BE45" s="96"/>
      <c r="BF45" s="11"/>
      <c r="BG45" s="11"/>
      <c r="BH45" s="11"/>
      <c r="BI45" s="96"/>
      <c r="BJ45" s="11">
        <f>(INDEX('Race 54'!$E$8:$E$200,(MATCH($B45,'Race 54'!$B$8:$B$200,0)),1))*100</f>
        <v>100.20773060047922</v>
      </c>
      <c r="BK45" s="11">
        <f>(INDEX('Race 55'!$E$8:$E$200,(MATCH($B45,'Race 55'!$B$8:$B$200,0)),1))*100</f>
        <v>95.032469356912159</v>
      </c>
      <c r="BL45" s="11"/>
      <c r="BM45" s="11"/>
      <c r="BN45" s="11"/>
      <c r="BO45" s="11">
        <f>(INDEX('Race 59'!$E$8:$E$200,(MATCH($B45,'Race 59'!$B$8:$B$200,0)),1))*100</f>
        <v>98.232540302726918</v>
      </c>
      <c r="BP45" s="11"/>
      <c r="BQ45" s="11">
        <f>(INDEX('Race 61'!$E$8:$E$200,(MATCH($B45,'Race 61'!$B$8:$B$200,0)),1))*100</f>
        <v>97.232160102486191</v>
      </c>
      <c r="BR45" s="11"/>
      <c r="BS45" s="11"/>
      <c r="BT45" s="11"/>
      <c r="BU45" s="11"/>
      <c r="BV45" s="11"/>
      <c r="BW45" s="11">
        <f>(INDEX('Race 67'!$E$8:$E$200,(MATCH($B45,'Race 67'!$B$8:$B$200,0)),1))*100</f>
        <v>95.988314806206716</v>
      </c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96"/>
      <c r="CY45" s="96"/>
      <c r="CZ45" s="11"/>
      <c r="DA45" s="26">
        <f t="shared" si="13"/>
        <v>95.870927969532829</v>
      </c>
      <c r="DB45" s="42" t="str">
        <f t="shared" si="14"/>
        <v>Egan, Clare</v>
      </c>
      <c r="DC45" s="43">
        <f t="shared" si="15"/>
        <v>1</v>
      </c>
      <c r="DD45" s="62">
        <v>95.598613577506455</v>
      </c>
      <c r="DE45" s="62">
        <f t="shared" si="16"/>
        <v>97.373330593106118</v>
      </c>
      <c r="DF45" s="4">
        <f t="shared" si="11"/>
        <v>5</v>
      </c>
      <c r="DG45" s="4">
        <f t="shared" si="17"/>
        <v>11</v>
      </c>
      <c r="DH45" s="4">
        <f t="shared" si="18"/>
        <v>16</v>
      </c>
      <c r="DI45" s="4" t="str">
        <f t="shared" si="19"/>
        <v>VT</v>
      </c>
      <c r="DJ45" s="62">
        <f>IF(COUNT(I45:U45)&lt;5,DA45,SUMPRODUCT(LARGE(I45:U45,{1,2,3,4,5}))/5)</f>
        <v>95.870927969532829</v>
      </c>
      <c r="DK45" s="62">
        <f>IF(COUNT(I45:AN45)&lt;5,DA45,SUMPRODUCT(LARGE(I45:AN45,{1,2,3,4,5}))/5)</f>
        <v>97.172319392285544</v>
      </c>
      <c r="DL45" s="62">
        <f>IF(COUNT(J45:CZ45)&lt;5,AVERAGE(J45:CZ45),SUMPRODUCT(LARGE(J45:CZ45,{1,2,3,4,5}))/5)</f>
        <v>99.096838544604083</v>
      </c>
      <c r="DM45" s="62">
        <f t="shared" si="10"/>
        <v>97.373330593106118</v>
      </c>
      <c r="DN45" s="13" t="str">
        <f t="shared" si="20"/>
        <v>Egan, Clare</v>
      </c>
      <c r="DO45" s="7">
        <v>42</v>
      </c>
      <c r="DP45" s="16"/>
      <c r="DQ45" s="9"/>
      <c r="DR45" s="9"/>
      <c r="DS45" s="139"/>
      <c r="DT45" s="15"/>
      <c r="DU45" s="128"/>
      <c r="DV45" s="128"/>
      <c r="DW45" s="13"/>
      <c r="DX45" s="7"/>
      <c r="DY45" s="8"/>
      <c r="DZ45" s="9"/>
      <c r="EA45" s="9"/>
      <c r="EB45" s="121"/>
      <c r="EC45" s="128"/>
      <c r="ED45" s="128"/>
      <c r="EE45" s="128"/>
      <c r="EF45" s="13"/>
      <c r="EG45" s="13"/>
      <c r="EI45" s="152"/>
    </row>
    <row r="46" spans="1:139" x14ac:dyDescent="0.2">
      <c r="A46" s="7">
        <v>43</v>
      </c>
      <c r="B46" s="119" t="s">
        <v>231</v>
      </c>
      <c r="C46" s="9" t="s">
        <v>5</v>
      </c>
      <c r="D46" s="9" t="s">
        <v>31</v>
      </c>
      <c r="E46" s="10">
        <v>85.325968996449333</v>
      </c>
      <c r="F46" s="10">
        <v>85.325968996449333</v>
      </c>
      <c r="G46" s="9">
        <f t="shared" si="12"/>
        <v>5</v>
      </c>
      <c r="H46" s="93">
        <v>83.324415222319843</v>
      </c>
      <c r="I46" s="46"/>
      <c r="J46" s="11"/>
      <c r="K46" s="11"/>
      <c r="L46" s="11"/>
      <c r="M46" s="11"/>
      <c r="N46" s="11"/>
      <c r="O46" s="11">
        <f>(INDEX('Race 7'!$E$8:$E$200,(MATCH($B46,'Race 7'!$B$8:$B$200,0)),1))*100</f>
        <v>86.608977265412904</v>
      </c>
      <c r="P46" s="11">
        <f>(INDEX('Race 8'!$E$8:$E$200,(MATCH($B46,'Race 8'!$B$8:$B$200,0)),1))*100</f>
        <v>86.326129412895796</v>
      </c>
      <c r="Q46" s="11">
        <f>(INDEX('Race 9'!$E$8:$E$200,(MATCH($B46,'Race 9'!$B$8:$B$200,0)),1))*100</f>
        <v>89.768392984627511</v>
      </c>
      <c r="R46" s="11">
        <f>(INDEX('Race 10'!$E$8:$E$200,(MATCH($B46,'Race 10'!$B$8:$B$200,0)),1))*100</f>
        <v>86.302736730225945</v>
      </c>
      <c r="S46" s="11">
        <f>(INDEX('Race 11'!$E$8:$E$200,(MATCH($B46,'Race 11'!$B$8:$B$200,0)),1))*100</f>
        <v>77.623608589084469</v>
      </c>
      <c r="T46" s="11"/>
      <c r="U46" s="297"/>
      <c r="V46" s="298"/>
      <c r="W46" s="11"/>
      <c r="X46" s="96"/>
      <c r="Y46" s="96"/>
      <c r="Z46" s="96"/>
      <c r="AA46" s="96"/>
      <c r="AB46" s="96"/>
      <c r="AC46" s="96"/>
      <c r="AD46" s="96"/>
      <c r="AE46" s="96"/>
      <c r="AF46" s="96"/>
      <c r="AG46" s="11"/>
      <c r="AH46" s="11"/>
      <c r="AI46" s="11"/>
      <c r="AJ46" s="11"/>
      <c r="AK46" s="11"/>
      <c r="AL46" s="11"/>
      <c r="AM46" s="11"/>
      <c r="AN46" s="250"/>
      <c r="AO46" s="251"/>
      <c r="AP46" s="96"/>
      <c r="AQ46" s="96"/>
      <c r="AR46" s="96"/>
      <c r="AS46" s="11"/>
      <c r="AT46" s="11"/>
      <c r="AU46" s="11"/>
      <c r="AV46" s="96"/>
      <c r="AW46" s="11"/>
      <c r="AX46" s="11"/>
      <c r="AY46" s="11"/>
      <c r="AZ46" s="96"/>
      <c r="BA46" s="11"/>
      <c r="BB46" s="96"/>
      <c r="BC46" s="96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96"/>
      <c r="BX46" s="11"/>
      <c r="BY46" s="96"/>
      <c r="BZ46" s="96"/>
      <c r="CA46" s="11"/>
      <c r="CB46" s="11"/>
      <c r="CC46" s="11"/>
      <c r="CD46" s="11"/>
      <c r="CE46" s="11"/>
      <c r="CF46" s="11"/>
      <c r="CG46" s="96"/>
      <c r="CH46" s="11"/>
      <c r="CI46" s="11"/>
      <c r="CJ46" s="96"/>
      <c r="CK46" s="96"/>
      <c r="CL46" s="11"/>
      <c r="CM46" s="11"/>
      <c r="CN46" s="96"/>
      <c r="CO46" s="96"/>
      <c r="CP46" s="96"/>
      <c r="CQ46" s="96"/>
      <c r="CR46" s="96"/>
      <c r="CS46" s="96"/>
      <c r="CT46" s="96"/>
      <c r="CU46" s="11"/>
      <c r="CV46" s="11"/>
      <c r="CW46" s="11"/>
      <c r="CX46" s="96"/>
      <c r="CY46" s="96"/>
      <c r="CZ46" s="11"/>
      <c r="DA46" s="26">
        <f t="shared" si="13"/>
        <v>85.325968996449333</v>
      </c>
      <c r="DB46" s="42" t="str">
        <f t="shared" si="14"/>
        <v>Ellingson, Siena</v>
      </c>
      <c r="DC46" s="43">
        <f t="shared" si="15"/>
        <v>1</v>
      </c>
      <c r="DD46" s="62">
        <v>83.324415222319843</v>
      </c>
      <c r="DE46" s="62">
        <f t="shared" si="16"/>
        <v>83.841966194801358</v>
      </c>
      <c r="DF46" s="4">
        <f t="shared" si="11"/>
        <v>5</v>
      </c>
      <c r="DG46" s="4">
        <f t="shared" si="17"/>
        <v>5</v>
      </c>
      <c r="DH46" s="4">
        <f t="shared" si="18"/>
        <v>5</v>
      </c>
      <c r="DI46" s="4" t="str">
        <f t="shared" si="19"/>
        <v>MN</v>
      </c>
      <c r="DJ46" s="62">
        <f>IF(COUNT(I46:X46)&lt;5,DA46,SUMPRODUCT(LARGE(I46:X46,{1,2,3,4,5}))/5)</f>
        <v>85.325968996449333</v>
      </c>
      <c r="DK46" s="62">
        <f>IF(COUNT(I46:AN46)&lt;5,DA46,SUMPRODUCT(LARGE(I46:AN46,{1,2,3,4,5}))/5)</f>
        <v>85.325968996449333</v>
      </c>
      <c r="DL46" s="62">
        <f>IF(COUNT(J46:CZ46)&lt;5,AVERAGE(J46:CZ46),SUMPRODUCT(LARGE(J46:CZ46,{1,2,3,4,5}))/5)</f>
        <v>85.325968996449333</v>
      </c>
      <c r="DM46" s="62">
        <f t="shared" si="10"/>
        <v>83.841966194801358</v>
      </c>
      <c r="DN46" s="13" t="str">
        <f t="shared" si="20"/>
        <v>Ellingson, Siena</v>
      </c>
      <c r="DO46" s="7">
        <v>43</v>
      </c>
      <c r="DP46" s="8"/>
      <c r="DQ46" s="9"/>
      <c r="DR46" s="9"/>
      <c r="DS46" s="121"/>
      <c r="DT46" s="128"/>
      <c r="DU46" s="128"/>
      <c r="DV46" s="128"/>
      <c r="DW46" s="13"/>
      <c r="DX46" s="7"/>
      <c r="DY46" s="8"/>
      <c r="DZ46" s="9"/>
      <c r="EA46" s="9"/>
      <c r="EB46" s="121"/>
      <c r="EC46" s="128"/>
      <c r="ED46" s="128"/>
      <c r="EE46" s="128"/>
      <c r="EF46" s="13"/>
      <c r="EG46" s="13"/>
      <c r="EI46" s="152"/>
    </row>
    <row r="47" spans="1:139" x14ac:dyDescent="0.2">
      <c r="A47" s="7">
        <v>44</v>
      </c>
      <c r="B47" s="119" t="s">
        <v>419</v>
      </c>
      <c r="C47" s="9" t="s">
        <v>5</v>
      </c>
      <c r="D47" s="9" t="s">
        <v>35</v>
      </c>
      <c r="E47" s="10">
        <v>0</v>
      </c>
      <c r="F47" s="10">
        <v>35.379243468569577</v>
      </c>
      <c r="G47" s="9">
        <f t="shared" si="12"/>
        <v>3</v>
      </c>
      <c r="H47" s="93">
        <v>0</v>
      </c>
      <c r="I47" s="46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96"/>
      <c r="U47" s="297"/>
      <c r="V47" s="298"/>
      <c r="W47" s="11"/>
      <c r="X47" s="96"/>
      <c r="Y47" s="96"/>
      <c r="Z47" s="96"/>
      <c r="AA47" s="96"/>
      <c r="AB47" s="96"/>
      <c r="AC47" s="96"/>
      <c r="AD47" s="96"/>
      <c r="AE47" s="96"/>
      <c r="AF47" s="110"/>
      <c r="AG47" s="11"/>
      <c r="AH47" s="11"/>
      <c r="AI47" s="11"/>
      <c r="AJ47" s="11"/>
      <c r="AK47" s="11"/>
      <c r="AL47" s="11"/>
      <c r="AM47" s="11">
        <f>(INDEX('Race 31'!$E$8:$E$200,(MATCH($B47,'Race 31'!$B$8:$B$200,0)),1))*100</f>
        <v>33.22690518601739</v>
      </c>
      <c r="AN47" s="250">
        <f>(INDEX('Race 32'!$E$8:$E$200,(MATCH($B47,'Race 32'!$B$8:$B$200,0)),1))*100</f>
        <v>37.531581751121763</v>
      </c>
      <c r="AO47" s="25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96"/>
      <c r="BA47" s="11"/>
      <c r="BB47" s="11"/>
      <c r="BC47" s="96"/>
      <c r="BD47" s="11"/>
      <c r="BE47" s="96"/>
      <c r="BF47" s="11"/>
      <c r="BG47" s="11"/>
      <c r="BH47" s="11">
        <f>(INDEX('Race 52'!$E$8:$E$200,(MATCH($B47,'Race 52'!$B$8:$B$200,0)),1))*100</f>
        <v>36.517675209155733</v>
      </c>
      <c r="BI47" s="11"/>
      <c r="BJ47" s="11"/>
      <c r="BK47" s="11"/>
      <c r="BL47" s="11"/>
      <c r="BM47" s="11"/>
      <c r="BN47" s="96"/>
      <c r="BO47" s="11"/>
      <c r="BP47" s="11"/>
      <c r="BQ47" s="11"/>
      <c r="BR47" s="11"/>
      <c r="BS47" s="11"/>
      <c r="BT47" s="11"/>
      <c r="BU47" s="11"/>
      <c r="BV47" s="11"/>
      <c r="BW47" s="96"/>
      <c r="BX47" s="11"/>
      <c r="BY47" s="11"/>
      <c r="BZ47" s="11"/>
      <c r="CA47" s="11"/>
      <c r="CB47" s="11"/>
      <c r="CC47" s="11"/>
      <c r="CD47" s="11"/>
      <c r="CE47" s="11"/>
      <c r="CF47" s="11"/>
      <c r="CG47" s="96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96"/>
      <c r="CY47" s="96"/>
      <c r="CZ47" s="11"/>
      <c r="DA47" s="26">
        <f t="shared" si="13"/>
        <v>35.758720715431629</v>
      </c>
      <c r="DB47" s="53" t="str">
        <f t="shared" si="14"/>
        <v>Eyre, Karly</v>
      </c>
      <c r="DC47" s="68">
        <f t="shared" si="15"/>
        <v>1</v>
      </c>
      <c r="DD47" s="62">
        <v>66.367715995604314</v>
      </c>
      <c r="DE47" s="209">
        <f t="shared" si="16"/>
        <v>35.136799366642066</v>
      </c>
      <c r="DF47" s="115">
        <f t="shared" si="11"/>
        <v>0</v>
      </c>
      <c r="DG47" s="4">
        <f t="shared" si="17"/>
        <v>2</v>
      </c>
      <c r="DH47" s="115">
        <f t="shared" si="18"/>
        <v>3</v>
      </c>
      <c r="DI47" s="115" t="str">
        <f t="shared" si="19"/>
        <v>WY</v>
      </c>
      <c r="DJ47" s="62">
        <f>IF(COUNT(I47:U47)&lt;5,DA47,SUMPRODUCT(LARGE(I47:U47,{1,2,3,4,5}))/5)</f>
        <v>35.758720715431629</v>
      </c>
      <c r="DK47" s="62">
        <f>IF(COUNT(I47:AN47)&lt;5,DA47,SUMPRODUCT(LARGE(I47:AN47,{1,2,3,4,5}))/5)</f>
        <v>35.758720715431629</v>
      </c>
      <c r="DL47" s="209">
        <f>IF(COUNT(J47:CZ47)&lt;5,AVERAGE(J47:CZ47),SUMPRODUCT(LARGE(J47:CZ47,{1,2,3,4,5}))/5)</f>
        <v>35.758720715431629</v>
      </c>
      <c r="DM47" s="62">
        <f t="shared" si="10"/>
        <v>35.136799366642066</v>
      </c>
      <c r="DN47" s="13" t="str">
        <f t="shared" si="20"/>
        <v>Eyre, Karly</v>
      </c>
      <c r="DO47" s="7">
        <v>44</v>
      </c>
      <c r="DP47" s="8"/>
      <c r="DQ47" s="9"/>
      <c r="DR47" s="9"/>
      <c r="DS47" s="121"/>
      <c r="DT47" s="128"/>
      <c r="DU47" s="128"/>
      <c r="DV47" s="128"/>
      <c r="DW47" s="13"/>
      <c r="DX47" s="7"/>
      <c r="DY47" s="16"/>
      <c r="DZ47" s="9"/>
      <c r="EA47" s="9"/>
      <c r="EB47" s="121"/>
      <c r="EC47" s="128"/>
      <c r="ED47" s="128"/>
      <c r="EE47" s="128"/>
      <c r="EF47" s="13"/>
      <c r="EG47" s="13"/>
      <c r="EI47" s="152"/>
    </row>
    <row r="48" spans="1:139" x14ac:dyDescent="0.2">
      <c r="A48" s="7">
        <v>45</v>
      </c>
      <c r="B48" s="119" t="s">
        <v>366</v>
      </c>
      <c r="C48" s="9" t="s">
        <v>6</v>
      </c>
      <c r="D48" s="9" t="s">
        <v>43</v>
      </c>
      <c r="E48" s="10">
        <v>62.167923524010817</v>
      </c>
      <c r="F48" s="10">
        <v>62.167923524010817</v>
      </c>
      <c r="G48" s="9">
        <f t="shared" si="12"/>
        <v>4</v>
      </c>
      <c r="H48" s="93">
        <v>0</v>
      </c>
      <c r="I48" s="46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>
        <f>(INDEX('Race 12'!$E$8:$E$200,(MATCH($B48,'Race 12'!$B$8:$B$200,0)),1))*100</f>
        <v>62.066479434457378</v>
      </c>
      <c r="U48" s="297">
        <f>(INDEX('Race 13'!$E$8:$E$200,(MATCH($B48,'Race 13'!$B$8:$B$200,0)),1))*100</f>
        <v>62.269367613564263</v>
      </c>
      <c r="V48" s="298"/>
      <c r="W48" s="11"/>
      <c r="X48" s="96"/>
      <c r="Y48" s="96"/>
      <c r="Z48" s="96"/>
      <c r="AA48" s="96"/>
      <c r="AB48" s="96"/>
      <c r="AC48" s="96"/>
      <c r="AD48" s="96"/>
      <c r="AE48" s="96"/>
      <c r="AF48" s="110"/>
      <c r="AG48" s="11"/>
      <c r="AH48" s="11"/>
      <c r="AI48" s="11"/>
      <c r="AJ48" s="11"/>
      <c r="AK48" s="11"/>
      <c r="AL48" s="11"/>
      <c r="AM48" s="11"/>
      <c r="AN48" s="250"/>
      <c r="AO48" s="25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96"/>
      <c r="BA48" s="11"/>
      <c r="BB48" s="11"/>
      <c r="BC48" s="96"/>
      <c r="BD48" s="11"/>
      <c r="BE48" s="96"/>
      <c r="BF48" s="11"/>
      <c r="BG48" s="11"/>
      <c r="BH48" s="11"/>
      <c r="BI48" s="11"/>
      <c r="BJ48" s="11"/>
      <c r="BK48" s="11"/>
      <c r="BL48" s="11"/>
      <c r="BM48" s="11"/>
      <c r="BN48" s="96"/>
      <c r="BO48" s="11"/>
      <c r="BP48" s="11"/>
      <c r="BQ48" s="11"/>
      <c r="BR48" s="11">
        <f>(INDEX('Race 62'!$E$8:$E$200,(MATCH($B48,'Race 62'!$B$8:$B$200,0)),1))*100</f>
        <v>67.829577738268085</v>
      </c>
      <c r="BS48" s="11"/>
      <c r="BT48" s="11"/>
      <c r="BU48" s="11"/>
      <c r="BV48" s="11"/>
      <c r="BW48" s="96"/>
      <c r="BX48" s="11">
        <f>(INDEX('Race 68'!$E$8:$E$200,(MATCH($B48,'Race 68'!$B$8:$B$200,0)),1))*100</f>
        <v>66.316625643764169</v>
      </c>
      <c r="BY48" s="11"/>
      <c r="BZ48" s="11"/>
      <c r="CA48" s="11"/>
      <c r="CB48" s="11"/>
      <c r="CC48" s="11"/>
      <c r="CD48" s="11"/>
      <c r="CE48" s="11"/>
      <c r="CF48" s="11"/>
      <c r="CG48" s="96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96"/>
      <c r="CY48" s="96"/>
      <c r="CZ48" s="11"/>
      <c r="DA48" s="26">
        <f t="shared" si="13"/>
        <v>64.620512607513476</v>
      </c>
      <c r="DB48" s="53" t="str">
        <f t="shared" si="14"/>
        <v>Farra, Lina</v>
      </c>
      <c r="DC48" s="68">
        <f t="shared" si="15"/>
        <v>1</v>
      </c>
      <c r="DD48" s="62">
        <v>66.367715995604314</v>
      </c>
      <c r="DE48" s="209">
        <f t="shared" si="16"/>
        <v>63.496622391189426</v>
      </c>
      <c r="DF48" s="115">
        <f t="shared" si="11"/>
        <v>2</v>
      </c>
      <c r="DG48" s="4">
        <f t="shared" si="17"/>
        <v>2</v>
      </c>
      <c r="DH48" s="115">
        <f t="shared" si="18"/>
        <v>4</v>
      </c>
      <c r="DI48" s="115" t="str">
        <f t="shared" si="19"/>
        <v>UT</v>
      </c>
      <c r="DJ48" s="62">
        <f>IF(COUNT(I48:U48)&lt;5,DA48,SUMPRODUCT(LARGE(I48:U48,{1,2,3,4,5}))/5)</f>
        <v>64.620512607513476</v>
      </c>
      <c r="DK48" s="62">
        <f>IF(COUNT(I48:AN48)&lt;5,DA48,SUMPRODUCT(LARGE(I48:AN48,{1,2,3,4,5}))/5)</f>
        <v>64.620512607513476</v>
      </c>
      <c r="DL48" s="209">
        <f>IF(COUNT(J48:CZ48)&lt;5,AVERAGE(J48:CZ48),SUMPRODUCT(LARGE(J48:CZ48,{1,2,3,4,5}))/5)</f>
        <v>64.620512607513476</v>
      </c>
      <c r="DM48" s="62">
        <f t="shared" si="10"/>
        <v>63.496622391189426</v>
      </c>
      <c r="DN48" s="13" t="str">
        <f t="shared" si="20"/>
        <v>Farra, Lina</v>
      </c>
      <c r="DO48" s="7">
        <v>45</v>
      </c>
      <c r="DP48" s="16"/>
      <c r="DQ48" s="9"/>
      <c r="DR48" s="9"/>
      <c r="DS48" s="121"/>
      <c r="DT48" s="128"/>
      <c r="DU48" s="128"/>
      <c r="DV48" s="128"/>
      <c r="DW48" s="13"/>
      <c r="DX48" s="7"/>
      <c r="DY48" s="8"/>
      <c r="DZ48" s="9"/>
      <c r="EA48" s="9"/>
      <c r="EB48" s="121"/>
      <c r="EC48" s="128"/>
      <c r="ED48" s="128"/>
      <c r="EE48" s="128"/>
      <c r="EF48" s="13"/>
      <c r="EG48" s="13"/>
      <c r="EI48" s="152"/>
    </row>
    <row r="49" spans="1:258" x14ac:dyDescent="0.2">
      <c r="A49" s="7">
        <v>46</v>
      </c>
      <c r="B49" s="119" t="s">
        <v>481</v>
      </c>
      <c r="C49" s="9" t="s">
        <v>5</v>
      </c>
      <c r="D49" s="9" t="s">
        <v>49</v>
      </c>
      <c r="E49" s="10">
        <v>0</v>
      </c>
      <c r="F49" s="10">
        <v>0</v>
      </c>
      <c r="G49" s="9">
        <f t="shared" si="12"/>
        <v>2</v>
      </c>
      <c r="H49" s="93">
        <v>0</v>
      </c>
      <c r="I49" s="46"/>
      <c r="J49" s="11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299"/>
      <c r="V49" s="300"/>
      <c r="W49" s="96"/>
      <c r="X49" s="96"/>
      <c r="Y49" s="96"/>
      <c r="Z49" s="96"/>
      <c r="AA49" s="96"/>
      <c r="AB49" s="96"/>
      <c r="AC49" s="96"/>
      <c r="AD49" s="96"/>
      <c r="AE49" s="96"/>
      <c r="AF49" s="110"/>
      <c r="AG49" s="96"/>
      <c r="AH49" s="96"/>
      <c r="AI49" s="96"/>
      <c r="AJ49" s="96"/>
      <c r="AK49" s="96"/>
      <c r="AL49" s="96"/>
      <c r="AM49" s="96"/>
      <c r="AN49" s="252"/>
      <c r="AO49" s="251"/>
      <c r="AP49" s="96"/>
      <c r="AQ49" s="96"/>
      <c r="AR49" s="96"/>
      <c r="AS49" s="96"/>
      <c r="AT49" s="96"/>
      <c r="AU49" s="96"/>
      <c r="AV49" s="96"/>
      <c r="AW49" s="11"/>
      <c r="AX49" s="11"/>
      <c r="AY49" s="96"/>
      <c r="AZ49" s="96"/>
      <c r="BA49" s="11"/>
      <c r="BB49" s="11"/>
      <c r="BC49" s="96"/>
      <c r="BD49" s="96"/>
      <c r="BE49" s="96"/>
      <c r="BF49" s="96"/>
      <c r="BG49" s="96"/>
      <c r="BH49" s="96">
        <f>(INDEX('Race 52'!$E$8:$E$200,(MATCH($B49,'Race 52'!$B$8:$B$200,0)),1))*100</f>
        <v>25.441046490053775</v>
      </c>
      <c r="BI49" s="96">
        <f>(INDEX('Race 53'!$E$8:$E$200,(MATCH($B49,'Race 53'!$B$8:$B$200,0)),1))*100</f>
        <v>31.904986547022311</v>
      </c>
      <c r="BJ49" s="96"/>
      <c r="BK49" s="96"/>
      <c r="BL49" s="11"/>
      <c r="BM49" s="11"/>
      <c r="BN49" s="96"/>
      <c r="BO49" s="96"/>
      <c r="BP49" s="96"/>
      <c r="BQ49" s="96"/>
      <c r="BR49" s="96"/>
      <c r="BS49" s="11"/>
      <c r="BT49" s="11"/>
      <c r="BU49" s="11"/>
      <c r="BV49" s="11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26">
        <f t="shared" si="13"/>
        <v>28.673016518538041</v>
      </c>
      <c r="DB49" s="53" t="str">
        <f t="shared" si="14"/>
        <v>FORNUE, JODEE</v>
      </c>
      <c r="DC49" s="68">
        <f t="shared" si="15"/>
        <v>1</v>
      </c>
      <c r="DD49" s="62">
        <v>0</v>
      </c>
      <c r="DE49" s="209">
        <f t="shared" si="16"/>
        <v>28.174330862275763</v>
      </c>
      <c r="DF49" s="115">
        <f t="shared" si="11"/>
        <v>0</v>
      </c>
      <c r="DG49" s="4">
        <f t="shared" si="17"/>
        <v>0</v>
      </c>
      <c r="DH49" s="115">
        <f t="shared" si="18"/>
        <v>2</v>
      </c>
      <c r="DI49" s="115" t="str">
        <f t="shared" si="19"/>
        <v>ID</v>
      </c>
      <c r="DJ49" s="62">
        <f>IF(COUNT(I49:U49)&lt;5,DA49,SUMPRODUCT(LARGE(I49:U49,{1,2,3,4,5}))/5)</f>
        <v>28.673016518538041</v>
      </c>
      <c r="DK49" s="62">
        <f>IF(COUNT(I49:AN49)&lt;5,DA49,SUMPRODUCT(LARGE(I49:AN49,{1,2,3,4,5}))/5)</f>
        <v>28.673016518538041</v>
      </c>
      <c r="DL49" s="209">
        <f>IF(COUNT(J49:CZ49)&lt;5,AVERAGE(J49:CZ49),SUMPRODUCT(LARGE(J49:CZ49,{1,2,3,4,5}))/5)</f>
        <v>28.673016518538041</v>
      </c>
      <c r="DM49" s="62">
        <f t="shared" si="10"/>
        <v>28.174330862275763</v>
      </c>
      <c r="DN49" s="13" t="str">
        <f t="shared" si="20"/>
        <v>FORNUE, JODEE</v>
      </c>
      <c r="DO49" s="7">
        <v>46</v>
      </c>
      <c r="DP49" s="8"/>
      <c r="DQ49" s="9"/>
      <c r="DR49" s="9"/>
      <c r="DS49" s="121"/>
      <c r="DT49" s="128"/>
      <c r="DU49" s="128"/>
      <c r="DV49" s="128"/>
      <c r="DW49" s="13"/>
      <c r="DX49" s="7"/>
      <c r="DY49" s="8"/>
      <c r="DZ49" s="9"/>
      <c r="EA49" s="9"/>
      <c r="EB49" s="121"/>
      <c r="EC49" s="128"/>
      <c r="ED49" s="128"/>
      <c r="EE49" s="128"/>
      <c r="EF49" s="13"/>
      <c r="EG49" s="13"/>
      <c r="EI49" s="152"/>
    </row>
    <row r="50" spans="1:258" x14ac:dyDescent="0.2">
      <c r="A50" s="7">
        <v>47</v>
      </c>
      <c r="B50" s="119" t="s">
        <v>388</v>
      </c>
      <c r="C50" s="9" t="s">
        <v>6</v>
      </c>
      <c r="D50" s="9" t="s">
        <v>36</v>
      </c>
      <c r="E50" s="10">
        <v>0</v>
      </c>
      <c r="F50" s="10">
        <v>54.323060854774972</v>
      </c>
      <c r="G50" s="9">
        <f t="shared" si="12"/>
        <v>1</v>
      </c>
      <c r="H50" s="93">
        <v>0</v>
      </c>
      <c r="I50" s="46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297"/>
      <c r="V50" s="298"/>
      <c r="W50" s="11"/>
      <c r="X50" s="96"/>
      <c r="Y50" s="96"/>
      <c r="Z50" s="96"/>
      <c r="AA50" s="96"/>
      <c r="AB50" s="96"/>
      <c r="AC50" s="96"/>
      <c r="AD50" s="96"/>
      <c r="AE50" s="96"/>
      <c r="AF50" s="96"/>
      <c r="AG50" s="11"/>
      <c r="AH50" s="11">
        <f>(INDEX('Race 26'!$E$8:$E$200,(MATCH($B50,'Race 26'!$B$8:$B$200,0)),1))*100</f>
        <v>54.323060854774972</v>
      </c>
      <c r="AI50" s="11"/>
      <c r="AJ50" s="11"/>
      <c r="AK50" s="11"/>
      <c r="AL50" s="11"/>
      <c r="AM50" s="11"/>
      <c r="AN50" s="250"/>
      <c r="AO50" s="25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96"/>
      <c r="BA50" s="11"/>
      <c r="BB50" s="11"/>
      <c r="BC50" s="96"/>
      <c r="BD50" s="11"/>
      <c r="BE50" s="96"/>
      <c r="BF50" s="11"/>
      <c r="BG50" s="11"/>
      <c r="BH50" s="11"/>
      <c r="BI50" s="11"/>
      <c r="BJ50" s="11"/>
      <c r="BK50" s="11"/>
      <c r="BL50" s="11"/>
      <c r="BM50" s="11"/>
      <c r="BN50" s="96"/>
      <c r="BO50" s="11"/>
      <c r="BP50" s="11"/>
      <c r="BQ50" s="11"/>
      <c r="BR50" s="11"/>
      <c r="BS50" s="11"/>
      <c r="BT50" s="11"/>
      <c r="BU50" s="11"/>
      <c r="BV50" s="11"/>
      <c r="BW50" s="96"/>
      <c r="BX50" s="11"/>
      <c r="BY50" s="11"/>
      <c r="BZ50" s="11"/>
      <c r="CA50" s="11"/>
      <c r="CB50" s="11"/>
      <c r="CC50" s="11"/>
      <c r="CD50" s="11"/>
      <c r="CE50" s="11"/>
      <c r="CF50" s="11"/>
      <c r="CG50" s="96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96"/>
      <c r="CY50" s="96"/>
      <c r="CZ50" s="11"/>
      <c r="DA50" s="26">
        <f t="shared" si="13"/>
        <v>54.323060854774972</v>
      </c>
      <c r="DB50" s="53" t="str">
        <f t="shared" si="14"/>
        <v>FOX, Bella</v>
      </c>
      <c r="DC50" s="68">
        <f t="shared" si="15"/>
        <v>1</v>
      </c>
      <c r="DD50" s="62">
        <v>66.367715995604314</v>
      </c>
      <c r="DE50" s="209">
        <f t="shared" si="16"/>
        <v>53.378265554461017</v>
      </c>
      <c r="DF50" s="115">
        <f t="shared" si="11"/>
        <v>0</v>
      </c>
      <c r="DG50" s="4">
        <f t="shared" si="17"/>
        <v>1</v>
      </c>
      <c r="DH50" s="115">
        <f t="shared" si="18"/>
        <v>1</v>
      </c>
      <c r="DI50" s="115" t="str">
        <f t="shared" si="19"/>
        <v>WA</v>
      </c>
      <c r="DJ50" s="62">
        <f>IF(COUNT(I50:U50)&lt;5,DA50,SUMPRODUCT(LARGE(I50:U50,{1,2,3,4,5}))/5)</f>
        <v>54.323060854774972</v>
      </c>
      <c r="DK50" s="62">
        <f>IF(COUNT(I50:AN50)&lt;5,DA50,SUMPRODUCT(LARGE(I50:AN50,{1,2,3,4,5}))/5)</f>
        <v>54.323060854774972</v>
      </c>
      <c r="DL50" s="209">
        <f>IF(COUNT(J50:CZ50)&lt;5,AVERAGE(J50:CZ50),SUMPRODUCT(LARGE(J50:CZ50,{1,2,3,4,5}))/5)</f>
        <v>54.323060854774972</v>
      </c>
      <c r="DM50" s="62">
        <f t="shared" si="10"/>
        <v>53.378265554461017</v>
      </c>
      <c r="DN50" s="13" t="str">
        <f t="shared" si="20"/>
        <v>FOX, Bella</v>
      </c>
      <c r="DO50" s="7">
        <v>47</v>
      </c>
      <c r="DP50" s="136"/>
      <c r="DQ50" s="9"/>
      <c r="DR50" s="9"/>
      <c r="DS50" s="121"/>
      <c r="DT50" s="128"/>
      <c r="DU50" s="15"/>
      <c r="DV50" s="128"/>
      <c r="DW50" s="13"/>
      <c r="DX50" s="7"/>
      <c r="DY50" s="16"/>
      <c r="DZ50" s="9"/>
      <c r="EA50" s="9"/>
      <c r="EB50" s="139"/>
      <c r="EC50" s="15"/>
      <c r="ED50" s="128"/>
      <c r="EE50" s="128"/>
      <c r="EF50" s="13"/>
      <c r="EG50" s="13"/>
      <c r="EI50" s="152"/>
    </row>
    <row r="51" spans="1:258" x14ac:dyDescent="0.2">
      <c r="A51" s="7">
        <v>48</v>
      </c>
      <c r="B51" s="119" t="s">
        <v>290</v>
      </c>
      <c r="C51" s="9" t="s">
        <v>5</v>
      </c>
      <c r="D51" s="9" t="s">
        <v>293</v>
      </c>
      <c r="E51" s="10">
        <v>34.532360649231684</v>
      </c>
      <c r="F51" s="10">
        <v>34.532360649231684</v>
      </c>
      <c r="G51" s="9">
        <f t="shared" si="12"/>
        <v>0</v>
      </c>
      <c r="H51" s="93">
        <v>34.532360649231684</v>
      </c>
      <c r="I51" s="46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96"/>
      <c r="U51" s="297"/>
      <c r="V51" s="298"/>
      <c r="W51" s="11"/>
      <c r="X51" s="96"/>
      <c r="Y51" s="96"/>
      <c r="Z51" s="96"/>
      <c r="AA51" s="96"/>
      <c r="AB51" s="96"/>
      <c r="AC51" s="96"/>
      <c r="AD51" s="96"/>
      <c r="AE51" s="96"/>
      <c r="AF51" s="110"/>
      <c r="AG51" s="11"/>
      <c r="AH51" s="11"/>
      <c r="AI51" s="11"/>
      <c r="AJ51" s="11"/>
      <c r="AK51" s="11"/>
      <c r="AL51" s="11"/>
      <c r="AM51" s="11"/>
      <c r="AN51" s="250"/>
      <c r="AO51" s="25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96"/>
      <c r="BA51" s="11"/>
      <c r="BB51" s="11"/>
      <c r="BC51" s="96"/>
      <c r="BD51" s="11"/>
      <c r="BE51" s="96"/>
      <c r="BF51" s="11"/>
      <c r="BG51" s="11"/>
      <c r="BH51" s="11"/>
      <c r="BI51" s="11"/>
      <c r="BJ51" s="11"/>
      <c r="BK51" s="11"/>
      <c r="BL51" s="11"/>
      <c r="BM51" s="11"/>
      <c r="BN51" s="96"/>
      <c r="BO51" s="11"/>
      <c r="BP51" s="11"/>
      <c r="BQ51" s="11"/>
      <c r="BR51" s="11"/>
      <c r="BS51" s="11"/>
      <c r="BT51" s="11"/>
      <c r="BU51" s="11"/>
      <c r="BV51" s="11"/>
      <c r="BW51" s="96"/>
      <c r="BX51" s="11"/>
      <c r="BY51" s="11"/>
      <c r="BZ51" s="11"/>
      <c r="CA51" s="11"/>
      <c r="CB51" s="11"/>
      <c r="CC51" s="11"/>
      <c r="CD51" s="11"/>
      <c r="CE51" s="11"/>
      <c r="CF51" s="11"/>
      <c r="CG51" s="96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96"/>
      <c r="CY51" s="96"/>
      <c r="CZ51" s="11"/>
      <c r="DA51" s="26">
        <f t="shared" si="13"/>
        <v>34.532360649231684</v>
      </c>
      <c r="DB51" s="53" t="str">
        <f t="shared" si="14"/>
        <v>Franceschi, Tori</v>
      </c>
      <c r="DC51" s="68">
        <f t="shared" si="15"/>
        <v>0</v>
      </c>
      <c r="DD51" s="62">
        <v>34.532360649231684</v>
      </c>
      <c r="DE51" s="209">
        <f t="shared" si="16"/>
        <v>0</v>
      </c>
      <c r="DF51" s="115">
        <f t="shared" si="11"/>
        <v>0</v>
      </c>
      <c r="DG51" s="4">
        <f t="shared" si="17"/>
        <v>0</v>
      </c>
      <c r="DH51" s="115">
        <f t="shared" si="18"/>
        <v>0</v>
      </c>
      <c r="DI51" s="115" t="str">
        <f t="shared" si="19"/>
        <v>RI</v>
      </c>
      <c r="DJ51" s="62">
        <f>IF(COUNT(I51:U51)&lt;5,DA51,SUMPRODUCT(LARGE(I51:U51,{1,2,3,4,5}))/5)</f>
        <v>34.532360649231684</v>
      </c>
      <c r="DK51" s="62">
        <f>IF(COUNT(I51:AN51)&lt;5,DA51,SUMPRODUCT(LARGE(I51:AN51,{1,2,3,4,5}))/5)</f>
        <v>34.532360649231684</v>
      </c>
      <c r="DL51" s="209">
        <f>IF(COUNT(J51:CZ51)=0,0,SUMPRODUCT(LARGE(J51:CZ51,{1,2,3,4,5}))/5)</f>
        <v>0</v>
      </c>
      <c r="DM51" s="62">
        <f t="shared" si="10"/>
        <v>0</v>
      </c>
      <c r="DN51" s="13" t="str">
        <f t="shared" si="20"/>
        <v>Franceschi, Tori</v>
      </c>
      <c r="DO51" s="7">
        <v>48</v>
      </c>
      <c r="DP51" s="16"/>
      <c r="DQ51" s="9"/>
      <c r="DR51" s="9"/>
      <c r="DS51" s="121"/>
      <c r="DT51" s="128"/>
      <c r="DU51" s="128"/>
      <c r="DV51" s="128"/>
      <c r="DW51" s="13"/>
      <c r="DX51" s="7"/>
      <c r="DY51" s="16"/>
      <c r="DZ51" s="9"/>
      <c r="EA51" s="9"/>
      <c r="EB51" s="139"/>
      <c r="EC51" s="15"/>
      <c r="ED51" s="128"/>
      <c r="EE51" s="128"/>
      <c r="EF51" s="13"/>
      <c r="EG51" s="13"/>
      <c r="EI51" s="152"/>
    </row>
    <row r="52" spans="1:258" x14ac:dyDescent="0.2">
      <c r="A52" s="7">
        <v>49</v>
      </c>
      <c r="B52" s="119" t="s">
        <v>277</v>
      </c>
      <c r="C52" s="9" t="s">
        <v>5</v>
      </c>
      <c r="D52" s="9" t="s">
        <v>35</v>
      </c>
      <c r="E52" s="10">
        <v>45.335219554128209</v>
      </c>
      <c r="F52" s="10">
        <v>45.335219554128209</v>
      </c>
      <c r="G52" s="9">
        <f t="shared" si="12"/>
        <v>0</v>
      </c>
      <c r="H52" s="93">
        <v>45.335219554128209</v>
      </c>
      <c r="I52" s="46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96"/>
      <c r="U52" s="297"/>
      <c r="V52" s="298"/>
      <c r="W52" s="11"/>
      <c r="X52" s="96"/>
      <c r="Y52" s="96"/>
      <c r="Z52" s="96"/>
      <c r="AA52" s="96"/>
      <c r="AB52" s="96"/>
      <c r="AC52" s="96"/>
      <c r="AD52" s="96"/>
      <c r="AE52" s="96"/>
      <c r="AF52" s="96"/>
      <c r="AG52" s="11"/>
      <c r="AH52" s="11"/>
      <c r="AI52" s="11"/>
      <c r="AJ52" s="11"/>
      <c r="AK52" s="11"/>
      <c r="AL52" s="11"/>
      <c r="AM52" s="11"/>
      <c r="AN52" s="250"/>
      <c r="AO52" s="25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96"/>
      <c r="BA52" s="11"/>
      <c r="BB52" s="11"/>
      <c r="BC52" s="96"/>
      <c r="BD52" s="11"/>
      <c r="BE52" s="96"/>
      <c r="BF52" s="11"/>
      <c r="BG52" s="11"/>
      <c r="BH52" s="11"/>
      <c r="BI52" s="11"/>
      <c r="BJ52" s="11"/>
      <c r="BK52" s="11"/>
      <c r="BL52" s="11"/>
      <c r="BM52" s="11"/>
      <c r="BN52" s="96"/>
      <c r="BO52" s="11"/>
      <c r="BP52" s="11"/>
      <c r="BQ52" s="11"/>
      <c r="BR52" s="11"/>
      <c r="BS52" s="11"/>
      <c r="BT52" s="11"/>
      <c r="BU52" s="11"/>
      <c r="BV52" s="11"/>
      <c r="BW52" s="96"/>
      <c r="BX52" s="11"/>
      <c r="BY52" s="11"/>
      <c r="BZ52" s="11"/>
      <c r="CA52" s="11"/>
      <c r="CB52" s="11"/>
      <c r="CC52" s="11"/>
      <c r="CD52" s="11"/>
      <c r="CE52" s="11"/>
      <c r="CF52" s="11"/>
      <c r="CG52" s="96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96"/>
      <c r="CY52" s="96"/>
      <c r="CZ52" s="11"/>
      <c r="DA52" s="26">
        <f t="shared" si="13"/>
        <v>45.335219554128209</v>
      </c>
      <c r="DB52" s="42" t="str">
        <f t="shared" si="14"/>
        <v>FRELSI, Brenda</v>
      </c>
      <c r="DC52" s="43">
        <f t="shared" si="15"/>
        <v>0</v>
      </c>
      <c r="DD52" s="62">
        <v>45.335219554128209</v>
      </c>
      <c r="DE52" s="62">
        <f t="shared" si="16"/>
        <v>0</v>
      </c>
      <c r="DF52" s="4">
        <f t="shared" si="11"/>
        <v>0</v>
      </c>
      <c r="DG52" s="4">
        <f t="shared" si="17"/>
        <v>0</v>
      </c>
      <c r="DH52" s="4">
        <f t="shared" si="18"/>
        <v>0</v>
      </c>
      <c r="DI52" s="4" t="str">
        <f t="shared" si="19"/>
        <v>WY</v>
      </c>
      <c r="DJ52" s="62">
        <f>IF(COUNT(I52:U52)&lt;5,DA52,SUMPRODUCT(LARGE(I52:U52,{1,2,3,4,5}))/5)</f>
        <v>45.335219554128209</v>
      </c>
      <c r="DK52" s="62">
        <f>IF(COUNT(I52:AN52)&lt;5,DA52,SUMPRODUCT(LARGE(I52:AN52,{1,2,3,4,5}))/5)</f>
        <v>45.335219554128209</v>
      </c>
      <c r="DL52" s="209">
        <f>IF(COUNT(J52:CZ52)=0,0,SUMPRODUCT(LARGE(J52:CZ52,{1,2,3,4,5}))/5)</f>
        <v>0</v>
      </c>
      <c r="DM52" s="62">
        <f t="shared" si="10"/>
        <v>0</v>
      </c>
      <c r="DN52" s="13" t="str">
        <f t="shared" si="20"/>
        <v>FRELSI, Brenda</v>
      </c>
      <c r="DO52" s="7">
        <v>49</v>
      </c>
      <c r="DP52" s="16"/>
      <c r="DQ52" s="9"/>
      <c r="DR52" s="9"/>
      <c r="DS52" s="121"/>
      <c r="DT52" s="128"/>
      <c r="DU52" s="15"/>
      <c r="DV52" s="128"/>
      <c r="DW52" s="13"/>
      <c r="DX52" s="7"/>
      <c r="DY52" s="16"/>
      <c r="DZ52" s="9"/>
      <c r="EA52" s="9"/>
      <c r="EB52" s="139"/>
      <c r="EC52" s="15"/>
      <c r="ED52" s="128"/>
      <c r="EE52" s="128"/>
      <c r="EF52" s="13"/>
      <c r="EG52" s="13"/>
      <c r="EI52" s="152"/>
    </row>
    <row r="53" spans="1:258" x14ac:dyDescent="0.2">
      <c r="A53" s="7">
        <v>50</v>
      </c>
      <c r="B53" s="119" t="s">
        <v>218</v>
      </c>
      <c r="C53" s="9" t="s">
        <v>5</v>
      </c>
      <c r="D53" s="9" t="s">
        <v>34</v>
      </c>
      <c r="E53" s="10">
        <v>51.922861441089708</v>
      </c>
      <c r="F53" s="10">
        <v>51.602765234211425</v>
      </c>
      <c r="G53" s="9">
        <f t="shared" si="12"/>
        <v>4</v>
      </c>
      <c r="H53" s="93">
        <v>51.922861441089708</v>
      </c>
      <c r="I53" s="270"/>
      <c r="J53" s="271"/>
      <c r="K53" s="271"/>
      <c r="L53" s="11"/>
      <c r="M53" s="11"/>
      <c r="N53" s="271"/>
      <c r="O53" s="11"/>
      <c r="P53" s="271"/>
      <c r="Q53" s="11"/>
      <c r="R53" s="271"/>
      <c r="S53" s="11"/>
      <c r="T53" s="96"/>
      <c r="U53" s="297"/>
      <c r="V53" s="298"/>
      <c r="W53" s="11"/>
      <c r="X53" s="96"/>
      <c r="Y53" s="272"/>
      <c r="Z53" s="272"/>
      <c r="AA53" s="96"/>
      <c r="AB53" s="272"/>
      <c r="AC53" s="96"/>
      <c r="AD53" s="96"/>
      <c r="AE53" s="96"/>
      <c r="AF53" s="96"/>
      <c r="AG53" s="11"/>
      <c r="AH53" s="271"/>
      <c r="AI53" s="11"/>
      <c r="AJ53" s="271"/>
      <c r="AK53" s="11">
        <f>(INDEX('Race 29'!$E$8:$E$200,(MATCH($B53,'Race 29'!$B$8:$B$200,0)),1))*100</f>
        <v>49.766950575434201</v>
      </c>
      <c r="AL53" s="271">
        <f>(INDEX('Race 30'!$E$8:$E$200,(MATCH($B53,'Race 30'!$B$8:$B$200,0)),1))*100</f>
        <v>51.15137972074303</v>
      </c>
      <c r="AM53" s="11"/>
      <c r="AN53" s="301"/>
      <c r="AO53" s="251">
        <f>(INDEX('Race 33'!$E$8:$E$200,(MATCH($B53,'Race 33'!$B$8:$B$200,0)),1))*100</f>
        <v>54.217008031365964</v>
      </c>
      <c r="AP53" s="271"/>
      <c r="AQ53" s="11"/>
      <c r="AR53" s="271"/>
      <c r="AS53" s="11"/>
      <c r="AT53" s="271"/>
      <c r="AU53" s="11">
        <f>(INDEX('Race 39'!$E$8:$E$200,(MATCH($B53,'Race 39'!$B$8:$B$200,0)),1))*100</f>
        <v>58.457090760651084</v>
      </c>
      <c r="AV53" s="11"/>
      <c r="AW53" s="11"/>
      <c r="AX53" s="11"/>
      <c r="AY53" s="11"/>
      <c r="AZ53" s="96"/>
      <c r="BA53" s="11"/>
      <c r="BB53" s="11"/>
      <c r="BC53" s="96"/>
      <c r="BD53" s="271"/>
      <c r="BE53" s="96"/>
      <c r="BF53" s="271"/>
      <c r="BG53" s="271"/>
      <c r="BH53" s="271"/>
      <c r="BI53" s="11"/>
      <c r="BJ53" s="271"/>
      <c r="BK53" s="271"/>
      <c r="BL53" s="11"/>
      <c r="BM53" s="11"/>
      <c r="BN53" s="272"/>
      <c r="BO53" s="11"/>
      <c r="BP53" s="271"/>
      <c r="BQ53" s="11"/>
      <c r="BR53" s="271"/>
      <c r="BS53" s="11"/>
      <c r="BT53" s="11"/>
      <c r="BU53" s="11"/>
      <c r="BV53" s="11"/>
      <c r="BW53" s="272"/>
      <c r="BX53" s="271"/>
      <c r="BY53" s="11"/>
      <c r="BZ53" s="271"/>
      <c r="CA53" s="11"/>
      <c r="CB53" s="11"/>
      <c r="CC53" s="11"/>
      <c r="CD53" s="11"/>
      <c r="CE53" s="11"/>
      <c r="CF53" s="11"/>
      <c r="CG53" s="96"/>
      <c r="CH53" s="11"/>
      <c r="CI53" s="11"/>
      <c r="CJ53" s="11"/>
      <c r="CK53" s="11"/>
      <c r="CL53" s="11"/>
      <c r="CM53" s="11"/>
      <c r="CN53" s="271"/>
      <c r="CO53" s="271"/>
      <c r="CP53" s="271"/>
      <c r="CQ53" s="271"/>
      <c r="CR53" s="271"/>
      <c r="CS53" s="271"/>
      <c r="CT53" s="271"/>
      <c r="CU53" s="271"/>
      <c r="CV53" s="271"/>
      <c r="CW53" s="271"/>
      <c r="CX53" s="272"/>
      <c r="CY53" s="272"/>
      <c r="CZ53" s="271"/>
      <c r="DA53" s="26">
        <f t="shared" si="13"/>
        <v>53.39810727204857</v>
      </c>
      <c r="DB53" s="42" t="str">
        <f t="shared" si="14"/>
        <v>Frittelli, Gabriella</v>
      </c>
      <c r="DC53" s="43">
        <f t="shared" si="15"/>
        <v>1</v>
      </c>
      <c r="DD53" s="62">
        <v>51.922861441089708</v>
      </c>
      <c r="DE53" s="62">
        <f t="shared" si="16"/>
        <v>52.469398911318244</v>
      </c>
      <c r="DF53" s="4">
        <f t="shared" si="11"/>
        <v>0</v>
      </c>
      <c r="DG53" s="4">
        <f t="shared" si="17"/>
        <v>3</v>
      </c>
      <c r="DH53" s="4">
        <f t="shared" si="18"/>
        <v>4</v>
      </c>
      <c r="DI53" s="4" t="str">
        <f t="shared" si="19"/>
        <v>NY</v>
      </c>
      <c r="DJ53" s="62">
        <f>IF(COUNT(I53:U53)&lt;5,DA53,SUMPRODUCT(LARGE(I53:U53,{1,2,3,4,5}))/5)</f>
        <v>53.39810727204857</v>
      </c>
      <c r="DK53" s="62">
        <f>IF(COUNT(I53:AN53)&lt;5,DA53,SUMPRODUCT(LARGE(I53:AN53,{1,2,3,4,5}))/5)</f>
        <v>53.39810727204857</v>
      </c>
      <c r="DL53" s="62">
        <f>IF(COUNT(J53:CZ53)&lt;5,AVERAGE(J53:CZ53),SUMPRODUCT(LARGE(J53:CZ53,{1,2,3,4,5}))/5)</f>
        <v>53.39810727204857</v>
      </c>
      <c r="DM53" s="62">
        <f t="shared" si="10"/>
        <v>52.469398911318244</v>
      </c>
      <c r="DN53" s="13" t="str">
        <f t="shared" si="20"/>
        <v>Frittelli, Gabriella</v>
      </c>
      <c r="DO53" s="7">
        <v>50</v>
      </c>
      <c r="DP53" s="8"/>
      <c r="DQ53" s="9"/>
      <c r="DR53" s="9"/>
      <c r="DS53" s="121"/>
      <c r="DT53" s="128"/>
      <c r="DU53" s="128"/>
      <c r="DV53" s="128"/>
      <c r="DW53" s="13"/>
      <c r="DX53" s="7"/>
      <c r="DY53" s="8"/>
      <c r="DZ53" s="9"/>
      <c r="EA53" s="9"/>
      <c r="EB53" s="121"/>
      <c r="EC53" s="128"/>
      <c r="ED53" s="128"/>
      <c r="EE53" s="128"/>
      <c r="EF53" s="13"/>
      <c r="EG53" s="13"/>
      <c r="EI53" s="152"/>
    </row>
    <row r="54" spans="1:258" x14ac:dyDescent="0.2">
      <c r="A54" s="7">
        <v>51</v>
      </c>
      <c r="B54" s="119" t="s">
        <v>294</v>
      </c>
      <c r="C54" s="9" t="s">
        <v>5</v>
      </c>
      <c r="D54" s="9" t="s">
        <v>36</v>
      </c>
      <c r="E54" s="10">
        <v>22.286310919943894</v>
      </c>
      <c r="F54" s="10">
        <v>24.097152635579665</v>
      </c>
      <c r="G54" s="9">
        <f t="shared" si="12"/>
        <v>2</v>
      </c>
      <c r="H54" s="93">
        <v>22.286310919943894</v>
      </c>
      <c r="I54" s="46"/>
      <c r="J54" s="79"/>
      <c r="K54" s="11"/>
      <c r="L54" s="11"/>
      <c r="M54" s="11"/>
      <c r="N54" s="11"/>
      <c r="O54" s="11"/>
      <c r="P54" s="11"/>
      <c r="Q54" s="11"/>
      <c r="R54" s="11"/>
      <c r="S54" s="11"/>
      <c r="T54" s="96"/>
      <c r="U54" s="297"/>
      <c r="V54" s="298"/>
      <c r="W54" s="11"/>
      <c r="X54" s="96"/>
      <c r="Y54" s="96"/>
      <c r="Z54" s="96"/>
      <c r="AA54" s="96"/>
      <c r="AB54" s="96"/>
      <c r="AC54" s="96"/>
      <c r="AD54" s="96"/>
      <c r="AE54" s="96"/>
      <c r="AF54" s="96"/>
      <c r="AG54" s="11"/>
      <c r="AH54" s="11">
        <f>(INDEX('Race 26'!$E$8:$E$200,(MATCH($B54,'Race 26'!$B$8:$B$200,0)),1))*100</f>
        <v>24.097152635579665</v>
      </c>
      <c r="AI54" s="11"/>
      <c r="AJ54" s="11"/>
      <c r="AK54" s="11"/>
      <c r="AL54" s="11"/>
      <c r="AM54" s="11"/>
      <c r="AN54" s="250"/>
      <c r="AO54" s="25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96"/>
      <c r="BA54" s="11"/>
      <c r="BB54" s="11"/>
      <c r="BC54" s="96"/>
      <c r="BD54" s="11"/>
      <c r="BE54" s="96"/>
      <c r="BF54" s="11"/>
      <c r="BG54" s="11"/>
      <c r="BH54" s="11"/>
      <c r="BI54" s="11"/>
      <c r="BJ54" s="11"/>
      <c r="BK54" s="11"/>
      <c r="BL54" s="11">
        <f>(INDEX('Race 56'!$E$8:$E$200,(MATCH($B54,'Race 56'!$B$8:$B$200,0)),1))*100</f>
        <v>22.756865493880518</v>
      </c>
      <c r="BM54" s="11"/>
      <c r="BN54" s="96"/>
      <c r="BO54" s="11"/>
      <c r="BP54" s="11"/>
      <c r="BQ54" s="11"/>
      <c r="BR54" s="11"/>
      <c r="BS54" s="11"/>
      <c r="BT54" s="11"/>
      <c r="BU54" s="11"/>
      <c r="BV54" s="11"/>
      <c r="BW54" s="96"/>
      <c r="BX54" s="11"/>
      <c r="BY54" s="11"/>
      <c r="BZ54" s="11"/>
      <c r="CA54" s="11"/>
      <c r="CB54" s="11"/>
      <c r="CC54" s="11"/>
      <c r="CD54" s="11"/>
      <c r="CE54" s="11"/>
      <c r="CF54" s="11"/>
      <c r="CG54" s="96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96"/>
      <c r="CY54" s="96"/>
      <c r="CZ54" s="11"/>
      <c r="DA54" s="26">
        <f t="shared" si="13"/>
        <v>23.427009064730093</v>
      </c>
      <c r="DB54" s="53" t="str">
        <f t="shared" si="14"/>
        <v>Galvin, Heather</v>
      </c>
      <c r="DC54" s="68">
        <f t="shared" si="15"/>
        <v>1</v>
      </c>
      <c r="DD54" s="62">
        <v>22.286310919943894</v>
      </c>
      <c r="DE54" s="209">
        <f t="shared" si="16"/>
        <v>23.019562803114958</v>
      </c>
      <c r="DF54" s="115">
        <f t="shared" si="11"/>
        <v>0</v>
      </c>
      <c r="DG54" s="4">
        <f t="shared" si="17"/>
        <v>1</v>
      </c>
      <c r="DH54" s="115">
        <f t="shared" si="18"/>
        <v>2</v>
      </c>
      <c r="DI54" s="115" t="str">
        <f t="shared" si="19"/>
        <v>WA</v>
      </c>
      <c r="DJ54" s="62">
        <f>IF(COUNT(I54:U54)&lt;5,DA54,SUMPRODUCT(LARGE(I54:U54,{1,2,3,4,5}))/5)</f>
        <v>23.427009064730093</v>
      </c>
      <c r="DK54" s="62">
        <f>IF(COUNT(I54:AN54)&lt;5,DA54,SUMPRODUCT(LARGE(I54:AN54,{1,2,3,4,5}))/5)</f>
        <v>23.427009064730093</v>
      </c>
      <c r="DL54" s="209">
        <f>IF(COUNT(J54:CZ54)&lt;5,AVERAGE(J54:CZ54),SUMPRODUCT(LARGE(J54:CZ54,{1,2,3,4,5}))/5)</f>
        <v>23.427009064730093</v>
      </c>
      <c r="DM54" s="62">
        <f t="shared" si="10"/>
        <v>23.019562803114958</v>
      </c>
      <c r="DN54" s="13" t="str">
        <f t="shared" si="20"/>
        <v>Galvin, Heather</v>
      </c>
      <c r="DO54" s="7">
        <v>51</v>
      </c>
      <c r="DP54" s="8"/>
      <c r="DQ54" s="9"/>
      <c r="DR54" s="9"/>
      <c r="DS54" s="121"/>
      <c r="DT54" s="128"/>
      <c r="DU54" s="128"/>
      <c r="DV54" s="128"/>
      <c r="DW54" s="13"/>
      <c r="DX54" s="7"/>
      <c r="DY54" s="8"/>
      <c r="DZ54" s="9"/>
      <c r="EA54" s="9"/>
      <c r="EB54" s="121"/>
      <c r="EC54" s="128"/>
      <c r="ED54" s="128"/>
      <c r="EE54" s="128"/>
      <c r="EF54" s="13"/>
      <c r="EG54" s="13"/>
      <c r="EI54" s="152"/>
    </row>
    <row r="55" spans="1:258" x14ac:dyDescent="0.2">
      <c r="A55" s="7">
        <v>52</v>
      </c>
      <c r="B55" s="119" t="s">
        <v>226</v>
      </c>
      <c r="C55" s="9" t="s">
        <v>6</v>
      </c>
      <c r="D55" s="9" t="s">
        <v>35</v>
      </c>
      <c r="E55" s="10">
        <v>64.796181060771787</v>
      </c>
      <c r="F55" s="10">
        <v>64.796181060771787</v>
      </c>
      <c r="G55" s="9">
        <f t="shared" si="12"/>
        <v>0</v>
      </c>
      <c r="H55" s="93">
        <v>64.796181060771787</v>
      </c>
      <c r="I55" s="48"/>
      <c r="J55" s="25"/>
      <c r="K55" s="25"/>
      <c r="L55" s="11"/>
      <c r="M55" s="25"/>
      <c r="N55" s="25"/>
      <c r="O55" s="11"/>
      <c r="P55" s="25"/>
      <c r="Q55" s="11"/>
      <c r="R55" s="11"/>
      <c r="S55" s="11"/>
      <c r="T55" s="96"/>
      <c r="U55" s="297"/>
      <c r="V55" s="298"/>
      <c r="W55" s="11"/>
      <c r="X55" s="111"/>
      <c r="Y55" s="111"/>
      <c r="Z55" s="111"/>
      <c r="AA55" s="111"/>
      <c r="AB55" s="111"/>
      <c r="AC55" s="111"/>
      <c r="AD55" s="111"/>
      <c r="AE55" s="111"/>
      <c r="AF55" s="110"/>
      <c r="AG55" s="25"/>
      <c r="AH55" s="25"/>
      <c r="AI55" s="25"/>
      <c r="AJ55" s="11"/>
      <c r="AK55" s="25"/>
      <c r="AL55" s="11"/>
      <c r="AM55" s="25"/>
      <c r="AN55" s="302"/>
      <c r="AO55" s="251"/>
      <c r="AP55" s="11"/>
      <c r="AQ55" s="11"/>
      <c r="AR55" s="11"/>
      <c r="AS55" s="11"/>
      <c r="AT55" s="11"/>
      <c r="AU55" s="11"/>
      <c r="AV55" s="11"/>
      <c r="AW55" s="11"/>
      <c r="AX55" s="11"/>
      <c r="AY55" s="96"/>
      <c r="AZ55" s="96"/>
      <c r="BA55" s="11"/>
      <c r="BB55" s="11"/>
      <c r="BC55" s="96"/>
      <c r="BD55" s="25"/>
      <c r="BE55" s="96"/>
      <c r="BF55" s="25"/>
      <c r="BG55" s="11"/>
      <c r="BH55" s="25"/>
      <c r="BI55" s="25"/>
      <c r="BJ55" s="25"/>
      <c r="BK55" s="25"/>
      <c r="BL55" s="11"/>
      <c r="BM55" s="11"/>
      <c r="BN55" s="96"/>
      <c r="BO55" s="11"/>
      <c r="BP55" s="25"/>
      <c r="BQ55" s="25"/>
      <c r="BR55" s="25"/>
      <c r="BS55" s="11"/>
      <c r="BT55" s="11"/>
      <c r="BU55" s="11"/>
      <c r="BV55" s="11"/>
      <c r="BW55" s="111"/>
      <c r="BX55" s="25"/>
      <c r="BY55" s="11"/>
      <c r="BZ55" s="25"/>
      <c r="CA55" s="11"/>
      <c r="CB55" s="11"/>
      <c r="CC55" s="11"/>
      <c r="CD55" s="11"/>
      <c r="CE55" s="11"/>
      <c r="CF55" s="11"/>
      <c r="CG55" s="96"/>
      <c r="CH55" s="11"/>
      <c r="CI55" s="11"/>
      <c r="CJ55" s="11"/>
      <c r="CK55" s="11"/>
      <c r="CL55" s="11"/>
      <c r="CM55" s="11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111"/>
      <c r="CY55" s="111"/>
      <c r="CZ55" s="25"/>
      <c r="DA55" s="26">
        <f t="shared" si="13"/>
        <v>64.796181060771787</v>
      </c>
      <c r="DB55" s="53" t="str">
        <f t="shared" si="14"/>
        <v>Garner, Rylie</v>
      </c>
      <c r="DC55" s="68">
        <f t="shared" si="15"/>
        <v>0</v>
      </c>
      <c r="DD55" s="62">
        <v>64.796181060771787</v>
      </c>
      <c r="DE55" s="209">
        <f t="shared" si="16"/>
        <v>0</v>
      </c>
      <c r="DF55" s="115">
        <f t="shared" si="11"/>
        <v>0</v>
      </c>
      <c r="DG55" s="4">
        <f t="shared" si="17"/>
        <v>0</v>
      </c>
      <c r="DH55" s="115">
        <f t="shared" si="18"/>
        <v>0</v>
      </c>
      <c r="DI55" s="115" t="str">
        <f t="shared" si="19"/>
        <v>WY</v>
      </c>
      <c r="DJ55" s="62">
        <f>IF(COUNT(I55:U55)&lt;5,DA55,SUMPRODUCT(LARGE(I55:U55,{1,2,3,4,5}))/5)</f>
        <v>64.796181060771787</v>
      </c>
      <c r="DK55" s="62">
        <f>IF(COUNT(I55:AN55)&lt;5,DA55,SUMPRODUCT(LARGE(I55:AN55,{1,2,3,4,5}))/5)</f>
        <v>64.796181060771787</v>
      </c>
      <c r="DL55" s="209">
        <f>IF(COUNT(J55:CZ55)=0,0,SUMPRODUCT(LARGE(J55:CZ55,{1,2,3,4,5}))/5)</f>
        <v>0</v>
      </c>
      <c r="DM55" s="62">
        <f t="shared" si="10"/>
        <v>0</v>
      </c>
      <c r="DN55" s="13" t="str">
        <f t="shared" si="20"/>
        <v>Garner, Rylie</v>
      </c>
      <c r="DO55" s="7">
        <v>52</v>
      </c>
      <c r="DP55" s="8"/>
      <c r="DQ55" s="9"/>
      <c r="DR55" s="9"/>
      <c r="DS55" s="121"/>
      <c r="DT55" s="128"/>
      <c r="DU55" s="128"/>
      <c r="DV55" s="128"/>
      <c r="DW55" s="13"/>
      <c r="DX55" s="7"/>
      <c r="DY55" s="8"/>
      <c r="DZ55" s="9"/>
      <c r="EA55" s="9"/>
      <c r="EB55" s="121"/>
      <c r="EC55" s="128"/>
      <c r="ED55" s="128"/>
      <c r="EE55" s="128"/>
      <c r="EF55" s="13"/>
      <c r="EG55" s="13"/>
      <c r="EI55" s="152"/>
    </row>
    <row r="56" spans="1:258" x14ac:dyDescent="0.2">
      <c r="A56" s="7">
        <v>53</v>
      </c>
      <c r="B56" s="119" t="s">
        <v>359</v>
      </c>
      <c r="C56" s="9" t="s">
        <v>6</v>
      </c>
      <c r="D56" s="9" t="s">
        <v>35</v>
      </c>
      <c r="E56" s="10">
        <v>67.827782491700475</v>
      </c>
      <c r="F56" s="10">
        <v>67.827782491700475</v>
      </c>
      <c r="G56" s="9">
        <f t="shared" si="12"/>
        <v>2</v>
      </c>
      <c r="H56" s="93">
        <v>0</v>
      </c>
      <c r="I56" s="46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>
        <f>(INDEX('Race 12'!$E$8:$E$200,(MATCH($B56,'Race 12'!$B$8:$B$200,0)),1))*100</f>
        <v>71.752259620858354</v>
      </c>
      <c r="U56" s="297">
        <f>(INDEX('Race 13'!$E$8:$E$200,(MATCH($B56,'Race 13'!$B$8:$B$200,0)),1))*100</f>
        <v>63.903305362542596</v>
      </c>
      <c r="V56" s="298"/>
      <c r="W56" s="11"/>
      <c r="X56" s="96"/>
      <c r="Y56" s="96"/>
      <c r="Z56" s="96"/>
      <c r="AA56" s="96"/>
      <c r="AB56" s="96"/>
      <c r="AC56" s="96"/>
      <c r="AD56" s="96"/>
      <c r="AE56" s="96"/>
      <c r="AF56" s="110"/>
      <c r="AG56" s="11"/>
      <c r="AH56" s="11"/>
      <c r="AI56" s="11"/>
      <c r="AJ56" s="11"/>
      <c r="AK56" s="11"/>
      <c r="AL56" s="11"/>
      <c r="AM56" s="11"/>
      <c r="AN56" s="250"/>
      <c r="AO56" s="25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96"/>
      <c r="BA56" s="11"/>
      <c r="BB56" s="11"/>
      <c r="BC56" s="96"/>
      <c r="BD56" s="11"/>
      <c r="BE56" s="96"/>
      <c r="BF56" s="11"/>
      <c r="BG56" s="11"/>
      <c r="BH56" s="11"/>
      <c r="BI56" s="11"/>
      <c r="BJ56" s="11"/>
      <c r="BK56" s="11"/>
      <c r="BL56" s="11"/>
      <c r="BM56" s="11"/>
      <c r="BN56" s="96"/>
      <c r="BO56" s="11"/>
      <c r="BP56" s="11"/>
      <c r="BQ56" s="11"/>
      <c r="BR56" s="11"/>
      <c r="BS56" s="11"/>
      <c r="BT56" s="11"/>
      <c r="BU56" s="11"/>
      <c r="BV56" s="11"/>
      <c r="BW56" s="96"/>
      <c r="BX56" s="11"/>
      <c r="BY56" s="11"/>
      <c r="BZ56" s="11"/>
      <c r="CA56" s="11"/>
      <c r="CB56" s="11"/>
      <c r="CC56" s="11"/>
      <c r="CD56" s="11"/>
      <c r="CE56" s="11"/>
      <c r="CF56" s="11"/>
      <c r="CG56" s="96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96"/>
      <c r="CY56" s="96"/>
      <c r="CZ56" s="11"/>
      <c r="DA56" s="26">
        <f t="shared" si="13"/>
        <v>67.827782491700475</v>
      </c>
      <c r="DB56" s="53" t="str">
        <f t="shared" si="14"/>
        <v>Garso, Jackie</v>
      </c>
      <c r="DC56" s="68">
        <f t="shared" si="15"/>
        <v>1</v>
      </c>
      <c r="DD56" s="62">
        <v>66.367715995604314</v>
      </c>
      <c r="DE56" s="209">
        <f t="shared" si="16"/>
        <v>66.6481109282701</v>
      </c>
      <c r="DF56" s="115">
        <f t="shared" si="11"/>
        <v>2</v>
      </c>
      <c r="DG56" s="4">
        <f t="shared" si="17"/>
        <v>2</v>
      </c>
      <c r="DH56" s="115">
        <f t="shared" si="18"/>
        <v>2</v>
      </c>
      <c r="DI56" s="115" t="str">
        <f t="shared" si="19"/>
        <v>WY</v>
      </c>
      <c r="DJ56" s="62">
        <f>IF(COUNT(I56:U56)&lt;5,DA56,SUMPRODUCT(LARGE(I56:U56,{1,2,3,4,5}))/5)</f>
        <v>67.827782491700475</v>
      </c>
      <c r="DK56" s="62">
        <f>IF(COUNT(I56:AN56)&lt;5,DA56,SUMPRODUCT(LARGE(I56:AN56,{1,2,3,4,5}))/5)</f>
        <v>67.827782491700475</v>
      </c>
      <c r="DL56" s="209">
        <f>IF(COUNT(J56:CZ56)&lt;5,AVERAGE(J56:CZ56),SUMPRODUCT(LARGE(J56:CZ56,{1,2,3,4,5}))/5)</f>
        <v>67.827782491700475</v>
      </c>
      <c r="DM56" s="62">
        <f t="shared" si="10"/>
        <v>66.6481109282701</v>
      </c>
      <c r="DN56" s="13" t="str">
        <f t="shared" si="20"/>
        <v>Garso, Jackie</v>
      </c>
      <c r="DO56" s="7">
        <v>53</v>
      </c>
      <c r="DP56" s="8"/>
      <c r="DQ56" s="9"/>
      <c r="DR56" s="9"/>
      <c r="DS56" s="121"/>
      <c r="DT56" s="128"/>
      <c r="DU56" s="128"/>
      <c r="DV56" s="128"/>
      <c r="DW56" s="13"/>
      <c r="DX56" s="7"/>
      <c r="DY56" s="8"/>
      <c r="DZ56" s="9"/>
      <c r="EA56" s="9"/>
      <c r="EB56" s="121"/>
      <c r="EC56" s="128"/>
      <c r="ED56" s="128"/>
      <c r="EE56" s="128"/>
      <c r="EF56" s="13"/>
      <c r="EG56" s="13"/>
      <c r="EI56" s="152"/>
    </row>
    <row r="57" spans="1:258" x14ac:dyDescent="0.2">
      <c r="A57" s="7">
        <v>54</v>
      </c>
      <c r="B57" s="119" t="s">
        <v>242</v>
      </c>
      <c r="C57" s="9" t="s">
        <v>6</v>
      </c>
      <c r="D57" s="9" t="s">
        <v>30</v>
      </c>
      <c r="E57" s="10">
        <v>70.939536977561588</v>
      </c>
      <c r="F57" s="10">
        <v>70.939536977561588</v>
      </c>
      <c r="G57" s="9">
        <f t="shared" si="12"/>
        <v>11</v>
      </c>
      <c r="H57" s="93">
        <v>70.165201512894257</v>
      </c>
      <c r="I57" s="46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>
        <f>(INDEX('Race 12'!$E$8:$E$200,(MATCH($B57,'Race 12'!$B$8:$B$200,0)),1))*100</f>
        <v>70.955012291737702</v>
      </c>
      <c r="U57" s="297">
        <f>(INDEX('Race 13'!$E$8:$E$200,(MATCH($B57,'Race 13'!$B$8:$B$200,0)),1))*100</f>
        <v>70.924061663385473</v>
      </c>
      <c r="V57" s="298"/>
      <c r="W57" s="11"/>
      <c r="X57" s="96"/>
      <c r="Y57" s="96"/>
      <c r="Z57" s="96"/>
      <c r="AA57" s="96"/>
      <c r="AB57" s="96"/>
      <c r="AC57" s="96"/>
      <c r="AD57" s="96"/>
      <c r="AE57" s="96"/>
      <c r="AF57" s="110"/>
      <c r="AG57" s="11"/>
      <c r="AH57" s="11"/>
      <c r="AI57" s="11"/>
      <c r="AJ57" s="11"/>
      <c r="AK57" s="11"/>
      <c r="AL57" s="11"/>
      <c r="AM57" s="11"/>
      <c r="AN57" s="250"/>
      <c r="AO57" s="251"/>
      <c r="AP57" s="11"/>
      <c r="AQ57" s="11"/>
      <c r="AR57" s="11"/>
      <c r="AS57" s="11"/>
      <c r="AT57" s="11"/>
      <c r="AU57" s="11"/>
      <c r="AV57" s="11"/>
      <c r="AW57" s="11"/>
      <c r="AX57" s="11"/>
      <c r="AY57" s="11">
        <f>(INDEX('Race 43'!$E$8:$E$200,(MATCH($B57,'Race 43'!$B$8:$B$200,0)),1))*100</f>
        <v>67.437118231543153</v>
      </c>
      <c r="AZ57" s="11">
        <f>(INDEX('Race 44'!$E$8:$E$200,(MATCH($B57,'Race 44'!$B$8:$B$200,0)),1))*100</f>
        <v>71.312466827996957</v>
      </c>
      <c r="BA57" s="11">
        <f>(INDEX('Race 45'!$E$8:$E$200,(MATCH($B57,'Race 45'!$B$8:$B$200,0)),1))*100</f>
        <v>72.096746723158589</v>
      </c>
      <c r="BB57" s="11">
        <f>(INDEX('Race 46'!$E$8:$E$200,(MATCH($B57,'Race 46'!$B$8:$B$200,0)),1))*100</f>
        <v>72.092126317045071</v>
      </c>
      <c r="BC57" s="11">
        <f>(INDEX('Race 47'!$E$8:$E$200,(MATCH($B57,'Race 47'!$B$8:$B$200,0)),1))*100</f>
        <v>71.209762569107312</v>
      </c>
      <c r="BD57" s="11">
        <f>(INDEX('Race 48'!$E$8:$E$200,(MATCH($B57,'Race 48'!$B$8:$B$200,0)),1))*100</f>
        <v>72.520166019923764</v>
      </c>
      <c r="BE57" s="96"/>
      <c r="BF57" s="11">
        <f>(INDEX('Race 50'!$E$8:$E$200,(MATCH($B57,'Race 50'!$B$8:$B$200,0)),1))*100</f>
        <v>69.393806247426909</v>
      </c>
      <c r="BG57" s="11"/>
      <c r="BH57" s="11"/>
      <c r="BI57" s="11"/>
      <c r="BJ57" s="11"/>
      <c r="BK57" s="11"/>
      <c r="BL57" s="11"/>
      <c r="BM57" s="11"/>
      <c r="BN57" s="96"/>
      <c r="BO57" s="11"/>
      <c r="BP57" s="11">
        <f>(INDEX('Race 60'!$E$8:$E$200,(MATCH($B57,'Race 60'!$B$8:$B$200,0)),1))*100</f>
        <v>72.452919094966518</v>
      </c>
      <c r="BQ57" s="11"/>
      <c r="BR57" s="96">
        <f>(INDEX('Race 62'!$E$8:$E$200,(MATCH($B57,'Race 62'!$B$8:$B$200,0)),1))*100</f>
        <v>73.208394542321912</v>
      </c>
      <c r="BS57" s="11"/>
      <c r="BT57" s="11"/>
      <c r="BU57" s="11"/>
      <c r="BV57" s="11"/>
      <c r="BW57" s="96"/>
      <c r="BX57" s="11"/>
      <c r="BY57" s="11"/>
      <c r="BZ57" s="11"/>
      <c r="CA57" s="11"/>
      <c r="CB57" s="11"/>
      <c r="CC57" s="11"/>
      <c r="CD57" s="11"/>
      <c r="CE57" s="11"/>
      <c r="CF57" s="11"/>
      <c r="CG57" s="96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96"/>
      <c r="CY57" s="96"/>
      <c r="CZ57" s="11"/>
      <c r="DA57" s="26">
        <f t="shared" si="13"/>
        <v>71.236598229873948</v>
      </c>
      <c r="DB57" s="53" t="str">
        <f t="shared" si="14"/>
        <v>Gilliland, Grace</v>
      </c>
      <c r="DC57" s="68">
        <f t="shared" si="15"/>
        <v>1</v>
      </c>
      <c r="DD57" s="62">
        <v>70.165201512894257</v>
      </c>
      <c r="DE57" s="209">
        <f t="shared" si="16"/>
        <v>71.213589996544329</v>
      </c>
      <c r="DF57" s="115">
        <f t="shared" si="11"/>
        <v>2</v>
      </c>
      <c r="DG57" s="4">
        <f t="shared" si="17"/>
        <v>2</v>
      </c>
      <c r="DH57" s="115">
        <f t="shared" si="18"/>
        <v>11</v>
      </c>
      <c r="DI57" s="115" t="str">
        <f t="shared" si="19"/>
        <v>AK</v>
      </c>
      <c r="DJ57" s="62">
        <f>IF(COUNT(I57:U57)&lt;5,DA57,SUMPRODUCT(LARGE(I57:U57,{1,2,3,4,5}))/5)</f>
        <v>71.236598229873948</v>
      </c>
      <c r="DK57" s="62">
        <f>IF(COUNT(I57:AN57)&lt;5,DA57,SUMPRODUCT(LARGE(I57:AN57,{1,2,3,4,5}))/5)</f>
        <v>71.236598229873948</v>
      </c>
      <c r="DL57" s="62">
        <f>IF(COUNT(I57:CZ57)&lt;5,AVERAGE(I57:CZ57),SUMPRODUCT(LARGE(I57:CZ57,{1,2,3,4,5}))/5)</f>
        <v>72.474070539483165</v>
      </c>
      <c r="DM57" s="62">
        <f t="shared" si="10"/>
        <v>71.213589996544329</v>
      </c>
      <c r="DN57" s="13" t="str">
        <f t="shared" si="20"/>
        <v>Gilliland, Grace</v>
      </c>
      <c r="DO57" s="7">
        <v>54</v>
      </c>
      <c r="DP57" s="16"/>
      <c r="DQ57" s="9"/>
      <c r="DR57" s="9"/>
      <c r="DS57" s="121"/>
      <c r="DT57" s="128"/>
      <c r="DU57" s="128"/>
      <c r="DV57" s="128"/>
      <c r="DW57" s="13"/>
      <c r="DX57" s="7"/>
      <c r="DY57" s="8"/>
      <c r="DZ57" s="9"/>
      <c r="EA57" s="9"/>
      <c r="EB57" s="121"/>
      <c r="EC57" s="128"/>
      <c r="ED57" s="128"/>
      <c r="EE57" s="128"/>
      <c r="EF57" s="13"/>
      <c r="EG57" s="13"/>
      <c r="EI57" s="152"/>
    </row>
    <row r="58" spans="1:258" x14ac:dyDescent="0.2">
      <c r="A58" s="7">
        <v>55</v>
      </c>
      <c r="B58" s="119" t="s">
        <v>281</v>
      </c>
      <c r="C58" s="9" t="s">
        <v>5</v>
      </c>
      <c r="D58" s="9" t="s">
        <v>48</v>
      </c>
      <c r="E58" s="10">
        <v>21.487260965126186</v>
      </c>
      <c r="F58" s="10">
        <v>21.487260965126186</v>
      </c>
      <c r="G58" s="9">
        <f t="shared" si="12"/>
        <v>0</v>
      </c>
      <c r="H58" s="93">
        <v>21.487260965126186</v>
      </c>
      <c r="I58" s="46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96"/>
      <c r="U58" s="297"/>
      <c r="V58" s="298"/>
      <c r="W58" s="11"/>
      <c r="X58" s="96"/>
      <c r="Y58" s="96"/>
      <c r="Z58" s="96"/>
      <c r="AA58" s="96"/>
      <c r="AB58" s="96"/>
      <c r="AC58" s="96"/>
      <c r="AD58" s="96"/>
      <c r="AE58" s="110"/>
      <c r="AF58" s="110"/>
      <c r="AG58" s="11"/>
      <c r="AH58" s="11"/>
      <c r="AI58" s="11"/>
      <c r="AJ58" s="11"/>
      <c r="AK58" s="11"/>
      <c r="AL58" s="11"/>
      <c r="AM58" s="11"/>
      <c r="AN58" s="250"/>
      <c r="AO58" s="251"/>
      <c r="AP58" s="96"/>
      <c r="AQ58" s="11"/>
      <c r="AR58" s="96"/>
      <c r="AS58" s="11"/>
      <c r="AT58" s="11"/>
      <c r="AU58" s="11"/>
      <c r="AV58" s="11"/>
      <c r="AW58" s="11"/>
      <c r="AX58" s="11"/>
      <c r="AY58" s="11"/>
      <c r="AZ58" s="96"/>
      <c r="BA58" s="11"/>
      <c r="BB58" s="11"/>
      <c r="BC58" s="96"/>
      <c r="BD58" s="11"/>
      <c r="BE58" s="96"/>
      <c r="BF58" s="11"/>
      <c r="BG58" s="11"/>
      <c r="BH58" s="11"/>
      <c r="BI58" s="11"/>
      <c r="BJ58" s="11"/>
      <c r="BK58" s="11"/>
      <c r="BL58" s="11"/>
      <c r="BM58" s="11"/>
      <c r="BN58" s="96"/>
      <c r="BO58" s="11"/>
      <c r="BP58" s="11"/>
      <c r="BQ58" s="11"/>
      <c r="BR58" s="11"/>
      <c r="BS58" s="11"/>
      <c r="BT58" s="11"/>
      <c r="BU58" s="11"/>
      <c r="BV58" s="11"/>
      <c r="BW58" s="96"/>
      <c r="BX58" s="11"/>
      <c r="BY58" s="11"/>
      <c r="BZ58" s="11"/>
      <c r="CA58" s="11"/>
      <c r="CB58" s="11"/>
      <c r="CC58" s="11"/>
      <c r="CD58" s="11"/>
      <c r="CE58" s="11"/>
      <c r="CF58" s="11"/>
      <c r="CG58" s="96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96"/>
      <c r="CY58" s="96"/>
      <c r="CZ58" s="11"/>
      <c r="DA58" s="26">
        <f t="shared" si="13"/>
        <v>21.487260965126186</v>
      </c>
      <c r="DB58" s="42" t="str">
        <f t="shared" si="14"/>
        <v>GRAVES, Janet</v>
      </c>
      <c r="DC58" s="43">
        <f t="shared" si="15"/>
        <v>0</v>
      </c>
      <c r="DD58" s="62">
        <v>21.487260965126186</v>
      </c>
      <c r="DE58" s="62">
        <f t="shared" si="16"/>
        <v>0</v>
      </c>
      <c r="DF58" s="4">
        <f t="shared" si="11"/>
        <v>0</v>
      </c>
      <c r="DG58" s="4">
        <f t="shared" si="17"/>
        <v>0</v>
      </c>
      <c r="DH58" s="4">
        <f t="shared" si="18"/>
        <v>0</v>
      </c>
      <c r="DI58" s="4" t="str">
        <f t="shared" si="19"/>
        <v>CA</v>
      </c>
      <c r="DJ58" s="62">
        <f>IF(COUNT(I58:U58)&lt;5,DA58,SUMPRODUCT(LARGE(I58:U58,{1,2,3,4,5}))/5)</f>
        <v>21.487260965126186</v>
      </c>
      <c r="DK58" s="62">
        <f>IF(COUNT(I58:AN58)&lt;5,DA58,SUMPRODUCT(LARGE(I58:AN58,{1,2,3,4,5}))/5)</f>
        <v>21.487260965126186</v>
      </c>
      <c r="DL58" s="209">
        <f>IF(COUNT(J58:CZ58)=0,0,SUMPRODUCT(LARGE(J58:CZ58,{1,2,3,4,5}))/5)</f>
        <v>0</v>
      </c>
      <c r="DM58" s="62">
        <f t="shared" si="10"/>
        <v>0</v>
      </c>
      <c r="DN58" s="13" t="str">
        <f t="shared" si="20"/>
        <v>GRAVES, Janet</v>
      </c>
      <c r="DO58" s="7">
        <v>55</v>
      </c>
      <c r="DP58" s="16"/>
      <c r="DQ58" s="9"/>
      <c r="DR58" s="9"/>
      <c r="DS58" s="121"/>
      <c r="DT58" s="128"/>
      <c r="DU58" s="128"/>
      <c r="DV58" s="128"/>
      <c r="DW58" s="13"/>
      <c r="DX58" s="7"/>
      <c r="DY58" s="16"/>
      <c r="DZ58" s="9"/>
      <c r="EA58" s="9"/>
      <c r="EB58" s="121"/>
      <c r="EC58" s="128"/>
      <c r="ED58" s="128"/>
      <c r="EE58" s="128"/>
      <c r="EF58" s="13"/>
      <c r="EG58" s="13"/>
      <c r="EI58" s="152"/>
    </row>
    <row r="59" spans="1:258" x14ac:dyDescent="0.2">
      <c r="A59" s="7">
        <v>56</v>
      </c>
      <c r="B59" s="119" t="s">
        <v>369</v>
      </c>
      <c r="C59" s="9" t="s">
        <v>6</v>
      </c>
      <c r="D59" s="9" t="s">
        <v>30</v>
      </c>
      <c r="E59" s="10">
        <v>46.255098940905611</v>
      </c>
      <c r="F59" s="10">
        <v>46.255098940905611</v>
      </c>
      <c r="G59" s="9">
        <f t="shared" si="12"/>
        <v>2</v>
      </c>
      <c r="H59" s="93">
        <v>0</v>
      </c>
      <c r="I59" s="46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>
        <f>(INDEX('Race 12'!$E$8:$E$200,(MATCH($B59,'Race 12'!$B$8:$B$200,0)),1))*100</f>
        <v>46.182048980560495</v>
      </c>
      <c r="U59" s="297">
        <f>(INDEX('Race 13'!$E$8:$E$200,(MATCH($B59,'Race 13'!$B$8:$B$200,0)),1))*100</f>
        <v>46.328148901250735</v>
      </c>
      <c r="V59" s="298"/>
      <c r="W59" s="11"/>
      <c r="X59" s="96"/>
      <c r="Y59" s="96"/>
      <c r="Z59" s="96"/>
      <c r="AA59" s="96"/>
      <c r="AB59" s="96"/>
      <c r="AC59" s="96"/>
      <c r="AD59" s="96"/>
      <c r="AE59" s="96"/>
      <c r="AF59" s="110"/>
      <c r="AG59" s="11"/>
      <c r="AH59" s="11"/>
      <c r="AI59" s="11"/>
      <c r="AJ59" s="11"/>
      <c r="AK59" s="11"/>
      <c r="AL59" s="11"/>
      <c r="AM59" s="11"/>
      <c r="AN59" s="250"/>
      <c r="AO59" s="25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96"/>
      <c r="BA59" s="11"/>
      <c r="BB59" s="11"/>
      <c r="BC59" s="96"/>
      <c r="BD59" s="11"/>
      <c r="BE59" s="96"/>
      <c r="BF59" s="11"/>
      <c r="BG59" s="11"/>
      <c r="BH59" s="11"/>
      <c r="BI59" s="11"/>
      <c r="BJ59" s="11"/>
      <c r="BK59" s="11"/>
      <c r="BL59" s="11"/>
      <c r="BM59" s="11"/>
      <c r="BN59" s="96"/>
      <c r="BO59" s="11"/>
      <c r="BP59" s="11"/>
      <c r="BQ59" s="11"/>
      <c r="BR59" s="11"/>
      <c r="BS59" s="11"/>
      <c r="BT59" s="11"/>
      <c r="BU59" s="11"/>
      <c r="BV59" s="11"/>
      <c r="BW59" s="96"/>
      <c r="BX59" s="11"/>
      <c r="BY59" s="11"/>
      <c r="BZ59" s="11"/>
      <c r="CA59" s="11"/>
      <c r="CB59" s="11"/>
      <c r="CC59" s="11"/>
      <c r="CD59" s="11"/>
      <c r="CE59" s="11"/>
      <c r="CF59" s="11"/>
      <c r="CG59" s="96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96"/>
      <c r="CY59" s="96"/>
      <c r="CZ59" s="11"/>
      <c r="DA59" s="26">
        <f t="shared" si="13"/>
        <v>46.255098940905611</v>
      </c>
      <c r="DB59" s="53" t="str">
        <f t="shared" si="14"/>
        <v>Grenier, Genevieve</v>
      </c>
      <c r="DC59" s="68">
        <f t="shared" si="15"/>
        <v>1</v>
      </c>
      <c r="DD59" s="62">
        <v>66.367715995604314</v>
      </c>
      <c r="DE59" s="209">
        <f t="shared" si="16"/>
        <v>45.45062291530472</v>
      </c>
      <c r="DF59" s="115">
        <f t="shared" si="11"/>
        <v>2</v>
      </c>
      <c r="DG59" s="4">
        <f t="shared" si="17"/>
        <v>2</v>
      </c>
      <c r="DH59" s="115">
        <f t="shared" si="18"/>
        <v>2</v>
      </c>
      <c r="DI59" s="115" t="str">
        <f t="shared" si="19"/>
        <v>AK</v>
      </c>
      <c r="DJ59" s="62">
        <f>IF(COUNT(I59:U59)&lt;5,DA59,SUMPRODUCT(LARGE(I59:U59,{1,2,3,4,5}))/5)</f>
        <v>46.255098940905611</v>
      </c>
      <c r="DK59" s="62">
        <f>IF(COUNT(I59:AN59)&lt;5,DA59,SUMPRODUCT(LARGE(I59:AN59,{1,2,3,4,5}))/5)</f>
        <v>46.255098940905611</v>
      </c>
      <c r="DL59" s="209">
        <f>IF(COUNT(J59:CZ59)&lt;5,AVERAGE(J59:CZ59),SUMPRODUCT(LARGE(J59:CZ59,{1,2,3,4,5}))/5)</f>
        <v>46.255098940905611</v>
      </c>
      <c r="DM59" s="62">
        <f t="shared" si="10"/>
        <v>45.45062291530472</v>
      </c>
      <c r="DN59" s="13" t="str">
        <f t="shared" si="20"/>
        <v>Grenier, Genevieve</v>
      </c>
      <c r="DO59" s="7">
        <v>56</v>
      </c>
      <c r="DP59" s="8"/>
      <c r="DQ59" s="9"/>
      <c r="DR59" s="9"/>
      <c r="DS59" s="124"/>
      <c r="DT59" s="131"/>
      <c r="DU59" s="131"/>
      <c r="DV59" s="131"/>
      <c r="DW59" s="13"/>
      <c r="DX59" s="7"/>
      <c r="DY59" s="8"/>
      <c r="DZ59" s="9"/>
      <c r="EA59" s="9"/>
      <c r="EB59" s="124"/>
      <c r="EC59" s="131"/>
      <c r="ED59" s="131"/>
      <c r="EE59" s="131"/>
      <c r="EF59" s="13"/>
      <c r="EG59" s="13"/>
      <c r="EI59" s="152"/>
    </row>
    <row r="60" spans="1:258" x14ac:dyDescent="0.2">
      <c r="A60" s="7">
        <v>57</v>
      </c>
      <c r="B60" s="119" t="s">
        <v>259</v>
      </c>
      <c r="C60" s="9" t="s">
        <v>5</v>
      </c>
      <c r="D60" s="9" t="s">
        <v>32</v>
      </c>
      <c r="E60" s="10">
        <v>85.59089880914452</v>
      </c>
      <c r="F60" s="10">
        <v>85.59089880914452</v>
      </c>
      <c r="G60" s="9">
        <f t="shared" si="12"/>
        <v>11</v>
      </c>
      <c r="H60" s="93">
        <v>84.895255654839019</v>
      </c>
      <c r="I60" s="46"/>
      <c r="J60" s="11"/>
      <c r="K60" s="11"/>
      <c r="L60" s="11"/>
      <c r="M60" s="11"/>
      <c r="N60" s="11"/>
      <c r="O60" s="11">
        <f>(INDEX('Race 7'!$E$8:$E$200,(MATCH($B60,'Race 7'!$B$8:$B$200,0)),1))*100</f>
        <v>82.928957746426491</v>
      </c>
      <c r="P60" s="11">
        <f>(INDEX('Race 8'!$E$8:$E$200,(MATCH($B60,'Race 8'!$B$8:$B$200,0)),1))*100</f>
        <v>88.071283539875907</v>
      </c>
      <c r="Q60" s="11">
        <f>(INDEX('Race 9'!$E$8:$E$200,(MATCH($B60,'Race 9'!$B$8:$B$200,0)),1))*100</f>
        <v>85.060617220049707</v>
      </c>
      <c r="R60" s="11">
        <f>(INDEX('Race 10'!$E$8:$E$200,(MATCH($B60,'Race 10'!$B$8:$B$200,0)),1))*100</f>
        <v>86.302736730225945</v>
      </c>
      <c r="S60" s="11"/>
      <c r="T60" s="96"/>
      <c r="U60" s="297"/>
      <c r="V60" s="298"/>
      <c r="W60" s="11"/>
      <c r="X60" s="96"/>
      <c r="Y60" s="96"/>
      <c r="Z60" s="96"/>
      <c r="AA60" s="96"/>
      <c r="AB60" s="96"/>
      <c r="AC60" s="96"/>
      <c r="AD60" s="96"/>
      <c r="AE60" s="96"/>
      <c r="AF60" s="110"/>
      <c r="AG60" s="11"/>
      <c r="AH60" s="11"/>
      <c r="AI60" s="11"/>
      <c r="AJ60" s="11"/>
      <c r="AK60" s="11"/>
      <c r="AL60" s="11"/>
      <c r="AM60" s="11"/>
      <c r="AN60" s="250"/>
      <c r="AO60" s="251"/>
      <c r="AP60" s="11">
        <f>(INDEX('Race 34'!$E$8:$E$200,(MATCH($B60,'Race 34'!$B$8:$B$200,0)),1))*100</f>
        <v>86.492985755135265</v>
      </c>
      <c r="AQ60" s="11">
        <f>(INDEX('Race 35'!$E$8:$E$200,(MATCH($B60,'Race 35'!$B$8:$B$200,0)),1))*100</f>
        <v>87.716008244023485</v>
      </c>
      <c r="AR60" s="11"/>
      <c r="AS60" s="11">
        <f>(INDEX('Race 37'!$E$8:$E$200,(MATCH($B60,'Race 37'!$B$8:$B$200,0)),1))*100</f>
        <v>87.952263317311449</v>
      </c>
      <c r="AT60" s="96"/>
      <c r="AU60" s="11">
        <f>(INDEX('Race 39'!$E$8:$E$200,(MATCH($B60,'Race 39'!$B$8:$B$200,0)),1))*100</f>
        <v>91.620685441207243</v>
      </c>
      <c r="AV60" s="96"/>
      <c r="AW60" s="11"/>
      <c r="AX60" s="11"/>
      <c r="AY60" s="11"/>
      <c r="AZ60" s="11"/>
      <c r="BA60" s="11"/>
      <c r="BB60" s="11"/>
      <c r="BC60" s="96"/>
      <c r="BD60" s="11"/>
      <c r="BE60" s="96"/>
      <c r="BF60" s="11"/>
      <c r="BG60" s="11"/>
      <c r="BH60" s="11"/>
      <c r="BI60" s="11"/>
      <c r="BJ60" s="11"/>
      <c r="BK60" s="11"/>
      <c r="BL60" s="11"/>
      <c r="BM60" s="11"/>
      <c r="BN60" s="96"/>
      <c r="BO60" s="11">
        <f>(INDEX('Race 59'!$E$8:$E$200,(MATCH($B60,'Race 59'!$B$8:$B$200,0)),1))*100</f>
        <v>83.747196689313668</v>
      </c>
      <c r="BP60" s="11"/>
      <c r="BQ60" s="11">
        <f>(INDEX('Race 61'!$E$8:$E$200,(MATCH($B60,'Race 61'!$B$8:$B$200,0)),1))*100</f>
        <v>84.147182678865178</v>
      </c>
      <c r="BR60" s="11"/>
      <c r="BS60" s="11"/>
      <c r="BT60" s="11"/>
      <c r="BU60" s="11"/>
      <c r="BV60" s="11"/>
      <c r="BW60" s="96">
        <f>(INDEX('Race 67'!$E$8:$E$200,(MATCH($B60,'Race 67'!$B$8:$B$200,0)),1))*100</f>
        <v>87.454686348245119</v>
      </c>
      <c r="BX60" s="11"/>
      <c r="BY60" s="11"/>
      <c r="BZ60" s="11"/>
      <c r="CA60" s="11"/>
      <c r="CB60" s="11"/>
      <c r="CC60" s="11"/>
      <c r="CD60" s="11"/>
      <c r="CE60" s="11"/>
      <c r="CF60" s="11"/>
      <c r="CG60" s="96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96"/>
      <c r="CY60" s="96"/>
      <c r="CZ60" s="11"/>
      <c r="DA60" s="26">
        <f t="shared" si="13"/>
        <v>86.499509428243584</v>
      </c>
      <c r="DB60" s="53" t="str">
        <f t="shared" si="14"/>
        <v>Grossman, Hallie</v>
      </c>
      <c r="DC60" s="68">
        <f t="shared" si="15"/>
        <v>1</v>
      </c>
      <c r="DD60" s="209">
        <v>84.895255654839019</v>
      </c>
      <c r="DE60" s="209">
        <f t="shared" si="16"/>
        <v>87.022683873570458</v>
      </c>
      <c r="DF60" s="115">
        <f>COUNT(I60:AC60)</f>
        <v>4</v>
      </c>
      <c r="DG60" s="4">
        <f t="shared" si="17"/>
        <v>7</v>
      </c>
      <c r="DH60" s="115">
        <f t="shared" si="18"/>
        <v>11</v>
      </c>
      <c r="DI60" s="115" t="str">
        <f t="shared" si="19"/>
        <v>VT</v>
      </c>
      <c r="DJ60" s="62">
        <f>IF(COUNT(I60:U60)&lt;5,DA60,SUMPRODUCT(LARGE(I60:U60,{1,2,3,4,5}))/5)</f>
        <v>86.499509428243584</v>
      </c>
      <c r="DK60" s="62">
        <f>IF(COUNT(I60:AN60)&lt;5,DA60,SUMPRODUCT(LARGE(I60:AN60,{1,2,3,4,5}))/5)</f>
        <v>86.499509428243584</v>
      </c>
      <c r="DL60" s="62">
        <f>IF(COUNT(I60:CZ60)&lt;5,AVERAGE(I60:CZ60),SUMPRODUCT(LARGE(I60:CZ60,{1,2,3,4,5}))/5)</f>
        <v>88.562985378132652</v>
      </c>
      <c r="DM60" s="62">
        <f t="shared" si="10"/>
        <v>87.022683873570458</v>
      </c>
      <c r="DN60" s="13" t="str">
        <f t="shared" si="20"/>
        <v>Grossman, Hallie</v>
      </c>
      <c r="DO60" s="7">
        <v>57</v>
      </c>
      <c r="DP60" s="136"/>
      <c r="DQ60" s="9"/>
      <c r="DR60" s="9"/>
      <c r="DS60" s="139"/>
      <c r="DT60" s="15"/>
      <c r="DU60" s="128"/>
      <c r="DV60" s="128"/>
      <c r="DW60" s="13"/>
      <c r="DX60" s="7"/>
      <c r="DY60" s="8"/>
      <c r="DZ60" s="9"/>
      <c r="EA60" s="9"/>
      <c r="EB60" s="121"/>
      <c r="EC60" s="128"/>
      <c r="ED60" s="128"/>
      <c r="EE60" s="128"/>
      <c r="EF60" s="13"/>
      <c r="EG60" s="13"/>
      <c r="EI60" s="152"/>
    </row>
    <row r="61" spans="1:258" x14ac:dyDescent="0.2">
      <c r="A61" s="7">
        <v>58</v>
      </c>
      <c r="B61" s="119" t="s">
        <v>225</v>
      </c>
      <c r="C61" s="9" t="s">
        <v>6</v>
      </c>
      <c r="D61" s="9" t="s">
        <v>35</v>
      </c>
      <c r="E61" s="10">
        <v>68.402970808446582</v>
      </c>
      <c r="F61" s="10">
        <v>68.402970808446582</v>
      </c>
      <c r="G61" s="9">
        <f t="shared" si="12"/>
        <v>0</v>
      </c>
      <c r="H61" s="93">
        <v>68.402970808446582</v>
      </c>
      <c r="I61" s="46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96"/>
      <c r="U61" s="297"/>
      <c r="V61" s="298"/>
      <c r="W61" s="11"/>
      <c r="X61" s="96"/>
      <c r="Y61" s="96"/>
      <c r="Z61" s="96"/>
      <c r="AA61" s="96"/>
      <c r="AB61" s="96"/>
      <c r="AC61" s="96"/>
      <c r="AD61" s="96"/>
      <c r="AE61" s="96"/>
      <c r="AF61" s="110"/>
      <c r="AG61" s="11"/>
      <c r="AH61" s="11"/>
      <c r="AI61" s="11"/>
      <c r="AJ61" s="11"/>
      <c r="AK61" s="11"/>
      <c r="AL61" s="11"/>
      <c r="AM61" s="11"/>
      <c r="AN61" s="250"/>
      <c r="AO61" s="251"/>
      <c r="AP61" s="11"/>
      <c r="AQ61" s="11"/>
      <c r="AR61" s="11"/>
      <c r="AS61" s="11"/>
      <c r="AT61" s="11"/>
      <c r="AU61" s="11"/>
      <c r="AV61" s="11"/>
      <c r="AW61" s="11"/>
      <c r="AX61" s="11"/>
      <c r="AY61" s="96"/>
      <c r="AZ61" s="96"/>
      <c r="BA61" s="11"/>
      <c r="BB61" s="11"/>
      <c r="BC61" s="96"/>
      <c r="BD61" s="11"/>
      <c r="BE61" s="96"/>
      <c r="BF61" s="11"/>
      <c r="BG61" s="11"/>
      <c r="BH61" s="11"/>
      <c r="BI61" s="11"/>
      <c r="BJ61" s="11"/>
      <c r="BK61" s="11"/>
      <c r="BL61" s="11"/>
      <c r="BM61" s="11"/>
      <c r="BN61" s="96"/>
      <c r="BO61" s="11"/>
      <c r="BP61" s="11"/>
      <c r="BQ61" s="11"/>
      <c r="BR61" s="11"/>
      <c r="BS61" s="11"/>
      <c r="BT61" s="11"/>
      <c r="BU61" s="11"/>
      <c r="BV61" s="11"/>
      <c r="BW61" s="96"/>
      <c r="BX61" s="11"/>
      <c r="BY61" s="11"/>
      <c r="BZ61" s="11"/>
      <c r="CA61" s="11"/>
      <c r="CB61" s="11"/>
      <c r="CC61" s="11"/>
      <c r="CD61" s="11"/>
      <c r="CE61" s="11"/>
      <c r="CF61" s="11"/>
      <c r="CG61" s="96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96"/>
      <c r="CY61" s="96"/>
      <c r="CZ61" s="11"/>
      <c r="DA61" s="26">
        <f t="shared" si="13"/>
        <v>68.402970808446582</v>
      </c>
      <c r="DB61" s="53" t="str">
        <f t="shared" si="14"/>
        <v>Gruner, Katherine</v>
      </c>
      <c r="DC61" s="68">
        <f t="shared" si="15"/>
        <v>0</v>
      </c>
      <c r="DD61" s="62">
        <v>68.402970808446582</v>
      </c>
      <c r="DE61" s="209">
        <f t="shared" si="16"/>
        <v>0</v>
      </c>
      <c r="DF61" s="115">
        <f t="shared" ref="DF61:DF90" si="21">COUNT(I61:X61)</f>
        <v>0</v>
      </c>
      <c r="DG61" s="4">
        <f t="shared" si="17"/>
        <v>0</v>
      </c>
      <c r="DH61" s="115">
        <f t="shared" si="18"/>
        <v>0</v>
      </c>
      <c r="DI61" s="115" t="str">
        <f t="shared" si="19"/>
        <v>WY</v>
      </c>
      <c r="DJ61" s="62">
        <f>IF(COUNT(I61:U61)&lt;5,DA61,SUMPRODUCT(LARGE(I61:U61,{1,2,3,4,5}))/5)</f>
        <v>68.402970808446582</v>
      </c>
      <c r="DK61" s="62">
        <f>IF(COUNT(I61:AN61)&lt;5,DA61,SUMPRODUCT(LARGE(I61:AN61,{1,2,3,4,5}))/5)</f>
        <v>68.402970808446582</v>
      </c>
      <c r="DL61" s="209">
        <f>IF(COUNT(J61:CZ61)=0,0,SUMPRODUCT(LARGE(J61:CZ61,{1,2,3,4,5}))/5)</f>
        <v>0</v>
      </c>
      <c r="DM61" s="62">
        <f t="shared" si="10"/>
        <v>0</v>
      </c>
      <c r="DN61" s="13" t="str">
        <f t="shared" si="20"/>
        <v>Gruner, Katherine</v>
      </c>
      <c r="DO61" s="7">
        <v>58</v>
      </c>
      <c r="DP61" s="8"/>
      <c r="DQ61" s="9"/>
      <c r="DR61" s="9"/>
      <c r="DS61" s="122"/>
      <c r="DT61" s="129"/>
      <c r="DU61" s="129"/>
      <c r="DV61" s="129"/>
      <c r="DW61" s="54"/>
      <c r="DX61" s="7"/>
      <c r="DY61" s="8"/>
      <c r="DZ61" s="9"/>
      <c r="EA61" s="9"/>
      <c r="EB61" s="122"/>
      <c r="EC61" s="129"/>
      <c r="ED61" s="129"/>
      <c r="EE61" s="129"/>
      <c r="EF61" s="54"/>
      <c r="EG61" s="54"/>
      <c r="EH61" s="55"/>
      <c r="EI61" s="152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  <c r="IW61" s="55"/>
      <c r="IX61" s="55"/>
    </row>
    <row r="62" spans="1:258" x14ac:dyDescent="0.2">
      <c r="A62" s="7">
        <v>59</v>
      </c>
      <c r="B62" s="274" t="s">
        <v>223</v>
      </c>
      <c r="C62" s="9" t="s">
        <v>5</v>
      </c>
      <c r="D62" s="9" t="s">
        <v>31</v>
      </c>
      <c r="E62" s="10">
        <v>77.229612245088475</v>
      </c>
      <c r="F62" s="10">
        <v>77.558612358122105</v>
      </c>
      <c r="G62" s="9">
        <f t="shared" si="12"/>
        <v>7</v>
      </c>
      <c r="H62" s="93">
        <v>72.034864861933698</v>
      </c>
      <c r="I62" s="46"/>
      <c r="J62" s="11"/>
      <c r="K62" s="11"/>
      <c r="L62" s="11"/>
      <c r="M62" s="11"/>
      <c r="N62" s="11"/>
      <c r="O62" s="11">
        <f>(INDEX('Race 7'!$E$8:$E$200,(MATCH($B62,'Race 7'!$B$8:$B$200,0)),1))*100</f>
        <v>79.229844485953109</v>
      </c>
      <c r="P62" s="11">
        <f>(INDEX('Race 8'!$E$8:$E$200,(MATCH($B62,'Race 8'!$B$8:$B$200,0)),1))*100</f>
        <v>75.099125280919893</v>
      </c>
      <c r="Q62" s="11">
        <f>(INDEX('Race 9'!$E$8:$E$200,(MATCH($B62,'Race 9'!$B$8:$B$200,0)),1))*100</f>
        <v>84.771576287748559</v>
      </c>
      <c r="R62" s="11">
        <f>(INDEX('Race 10'!$E$8:$E$200,(MATCH($B62,'Race 10'!$B$8:$B$200,0)),1))*100</f>
        <v>74.195192440259547</v>
      </c>
      <c r="S62" s="11">
        <f>(INDEX('Race 11'!$E$8:$E$200,(MATCH($B62,'Race 11'!$B$8:$B$200,0)),1))*100</f>
        <v>72.852322730561212</v>
      </c>
      <c r="T62" s="96"/>
      <c r="U62" s="297"/>
      <c r="V62" s="298"/>
      <c r="W62" s="11"/>
      <c r="X62" s="96"/>
      <c r="Y62" s="96"/>
      <c r="Z62" s="96"/>
      <c r="AA62" s="96"/>
      <c r="AB62" s="96"/>
      <c r="AC62" s="96"/>
      <c r="AD62" s="11">
        <f>(INDEX('Race 22'!$E$8:$E$200,(MATCH($B62,'Race 22'!$B$8:$B$200,0)),1))*100</f>
        <v>74.497323295729416</v>
      </c>
      <c r="AE62" s="96"/>
      <c r="AF62" s="110"/>
      <c r="AG62" s="11"/>
      <c r="AH62" s="11"/>
      <c r="AI62" s="11"/>
      <c r="AJ62" s="11"/>
      <c r="AK62" s="11"/>
      <c r="AL62" s="11"/>
      <c r="AM62" s="11"/>
      <c r="AN62" s="250"/>
      <c r="AO62" s="251"/>
      <c r="AP62" s="11"/>
      <c r="AQ62" s="11"/>
      <c r="AR62" s="11"/>
      <c r="AS62" s="11"/>
      <c r="AT62" s="11"/>
      <c r="AU62" s="11"/>
      <c r="AV62" s="11"/>
      <c r="AW62" s="11"/>
      <c r="AX62" s="11"/>
      <c r="AY62" s="96"/>
      <c r="AZ62" s="96"/>
      <c r="BA62" s="11"/>
      <c r="BB62" s="11"/>
      <c r="BC62" s="96"/>
      <c r="BD62" s="11"/>
      <c r="BE62" s="96"/>
      <c r="BF62" s="11"/>
      <c r="BG62" s="11">
        <f>(INDEX('Race 51'!$E$8:$E$200,(MATCH($B62,'Race 51'!$B$8:$B$200,0)),1))*100</f>
        <v>77.889610211313382</v>
      </c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96"/>
      <c r="BX62" s="11"/>
      <c r="BY62" s="11"/>
      <c r="BZ62" s="11"/>
      <c r="CA62" s="11"/>
      <c r="CB62" s="11"/>
      <c r="CC62" s="11"/>
      <c r="CD62" s="11"/>
      <c r="CE62" s="11"/>
      <c r="CF62" s="11"/>
      <c r="CG62" s="96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96"/>
      <c r="CY62" s="96"/>
      <c r="CZ62" s="11"/>
      <c r="DA62" s="26">
        <f t="shared" si="13"/>
        <v>76.933570676069309</v>
      </c>
      <c r="DB62" s="53" t="str">
        <f t="shared" si="14"/>
        <v>Guthrie, Hanne</v>
      </c>
      <c r="DC62" s="68">
        <f t="shared" si="15"/>
        <v>1</v>
      </c>
      <c r="DD62" s="62">
        <v>72.034864861933698</v>
      </c>
      <c r="DE62" s="209">
        <f t="shared" si="16"/>
        <v>76.935733430611066</v>
      </c>
      <c r="DF62" s="115">
        <f t="shared" si="21"/>
        <v>5</v>
      </c>
      <c r="DG62" s="4">
        <f t="shared" si="17"/>
        <v>6</v>
      </c>
      <c r="DH62" s="115">
        <f t="shared" si="18"/>
        <v>7</v>
      </c>
      <c r="DI62" s="115" t="str">
        <f t="shared" si="19"/>
        <v>MN</v>
      </c>
      <c r="DJ62" s="62">
        <f>IF(COUNT(I62:X62)&lt;5,DA62,SUMPRODUCT(LARGE(I62:X62,{1,2,3,4,5}))/5)</f>
        <v>77.229612245088475</v>
      </c>
      <c r="DK62" s="62">
        <f>IF(COUNT(I62:AN62)&lt;5,DA62,SUMPRODUCT(LARGE(I62:AN62,{1,2,3,4,5}))/5)</f>
        <v>77.558612358122105</v>
      </c>
      <c r="DL62" s="62">
        <f>IF(COUNT(J62:CZ62)&lt;5,AVERAGE(J62:CZ62),SUMPRODUCT(LARGE(J62:CZ62,{1,2,3,4,5}))/5)</f>
        <v>78.297495912332877</v>
      </c>
      <c r="DM62" s="62">
        <f t="shared" si="10"/>
        <v>76.935733430611066</v>
      </c>
      <c r="DN62" s="13" t="str">
        <f t="shared" si="20"/>
        <v>Guthrie, Hanne</v>
      </c>
      <c r="DO62" s="7">
        <v>59</v>
      </c>
      <c r="DP62" s="8"/>
      <c r="DQ62" s="9"/>
      <c r="DR62" s="9"/>
      <c r="DS62" s="121"/>
      <c r="DT62" s="128"/>
      <c r="DU62" s="128"/>
      <c r="DV62" s="128"/>
      <c r="DW62" s="13"/>
      <c r="DX62" s="7"/>
      <c r="DY62" s="16"/>
      <c r="DZ62" s="9"/>
      <c r="EA62" s="9"/>
      <c r="EB62" s="139"/>
      <c r="EC62" s="15"/>
      <c r="ED62" s="128"/>
      <c r="EE62" s="128"/>
      <c r="EF62" s="13"/>
      <c r="EG62" s="13"/>
      <c r="EI62" s="152"/>
    </row>
    <row r="63" spans="1:258" x14ac:dyDescent="0.2">
      <c r="A63" s="7">
        <v>60</v>
      </c>
      <c r="B63" s="119" t="s">
        <v>408</v>
      </c>
      <c r="C63" s="9" t="s">
        <v>5</v>
      </c>
      <c r="D63" s="9" t="s">
        <v>31</v>
      </c>
      <c r="E63" s="10">
        <v>0</v>
      </c>
      <c r="F63" s="10">
        <v>42.22916909453383</v>
      </c>
      <c r="G63" s="9">
        <f t="shared" si="12"/>
        <v>2</v>
      </c>
      <c r="H63" s="93">
        <v>0</v>
      </c>
      <c r="I63" s="46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96"/>
      <c r="U63" s="297"/>
      <c r="V63" s="298"/>
      <c r="W63" s="11"/>
      <c r="X63" s="96"/>
      <c r="Y63" s="96"/>
      <c r="Z63" s="96"/>
      <c r="AA63" s="96"/>
      <c r="AB63" s="96"/>
      <c r="AC63" s="96"/>
      <c r="AD63" s="96"/>
      <c r="AE63" s="96"/>
      <c r="AF63" s="110"/>
      <c r="AG63" s="11"/>
      <c r="AH63" s="11"/>
      <c r="AI63" s="11"/>
      <c r="AJ63" s="11"/>
      <c r="AK63" s="11"/>
      <c r="AL63" s="11"/>
      <c r="AM63" s="11">
        <f>(INDEX('Race 31'!$E$8:$E$200,(MATCH($B63,'Race 31'!$B$8:$B$200,0)),1))*100</f>
        <v>41.127652831635388</v>
      </c>
      <c r="AN63" s="250">
        <f>(INDEX('Race 32'!$E$8:$E$200,(MATCH($B63,'Race 32'!$B$8:$B$200,0)),1))*100</f>
        <v>43.330685357432266</v>
      </c>
      <c r="AO63" s="25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96"/>
      <c r="BA63" s="11"/>
      <c r="BB63" s="11"/>
      <c r="BC63" s="96"/>
      <c r="BD63" s="11"/>
      <c r="BE63" s="96"/>
      <c r="BF63" s="11"/>
      <c r="BG63" s="11"/>
      <c r="BH63" s="11"/>
      <c r="BI63" s="11"/>
      <c r="BJ63" s="11"/>
      <c r="BK63" s="11"/>
      <c r="BL63" s="11"/>
      <c r="BM63" s="11"/>
      <c r="BN63" s="96"/>
      <c r="BO63" s="11"/>
      <c r="BP63" s="11"/>
      <c r="BQ63" s="11"/>
      <c r="BR63" s="11"/>
      <c r="BS63" s="11"/>
      <c r="BT63" s="11"/>
      <c r="BU63" s="11"/>
      <c r="BV63" s="11"/>
      <c r="BW63" s="96"/>
      <c r="BX63" s="11"/>
      <c r="BY63" s="11"/>
      <c r="BZ63" s="11"/>
      <c r="CA63" s="11"/>
      <c r="CB63" s="11"/>
      <c r="CC63" s="11"/>
      <c r="CD63" s="11"/>
      <c r="CE63" s="11"/>
      <c r="CF63" s="11"/>
      <c r="CG63" s="96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96"/>
      <c r="CY63" s="96"/>
      <c r="CZ63" s="11"/>
      <c r="DA63" s="26">
        <f t="shared" si="13"/>
        <v>42.22916909453383</v>
      </c>
      <c r="DB63" s="53" t="str">
        <f t="shared" si="14"/>
        <v>Hall, Samantha</v>
      </c>
      <c r="DC63" s="68">
        <f t="shared" si="15"/>
        <v>1</v>
      </c>
      <c r="DD63" s="62">
        <v>66.367715995604314</v>
      </c>
      <c r="DE63" s="209">
        <f t="shared" si="16"/>
        <v>41.494712680096129</v>
      </c>
      <c r="DF63" s="115">
        <f t="shared" si="21"/>
        <v>0</v>
      </c>
      <c r="DG63" s="4">
        <f t="shared" si="17"/>
        <v>2</v>
      </c>
      <c r="DH63" s="115">
        <f t="shared" si="18"/>
        <v>2</v>
      </c>
      <c r="DI63" s="115" t="str">
        <f t="shared" si="19"/>
        <v>MN</v>
      </c>
      <c r="DJ63" s="62">
        <f>IF(COUNT(I63:U63)&lt;5,DA63,SUMPRODUCT(LARGE(I63:U63,{1,2,3,4,5}))/5)</f>
        <v>42.22916909453383</v>
      </c>
      <c r="DK63" s="62">
        <f>IF(COUNT(I63:AN63)&lt;5,DA63,SUMPRODUCT(LARGE(I63:AN63,{1,2,3,4,5}))/5)</f>
        <v>42.22916909453383</v>
      </c>
      <c r="DL63" s="209">
        <f>IF(COUNT(J63:CZ63)&lt;5,AVERAGE(J63:CZ63),SUMPRODUCT(LARGE(J63:CZ63,{1,2,3,4,5}))/5)</f>
        <v>42.22916909453383</v>
      </c>
      <c r="DM63" s="62">
        <f t="shared" si="10"/>
        <v>41.494712680096129</v>
      </c>
      <c r="DN63" s="13" t="str">
        <f t="shared" si="20"/>
        <v>Hall, Samantha</v>
      </c>
      <c r="DO63" s="7">
        <v>60</v>
      </c>
      <c r="DP63" s="8"/>
      <c r="DQ63" s="9"/>
      <c r="DR63" s="9"/>
      <c r="DS63" s="121"/>
      <c r="DT63" s="128"/>
      <c r="DU63" s="128"/>
      <c r="DV63" s="128"/>
      <c r="DW63" s="13"/>
      <c r="DX63" s="7"/>
      <c r="DY63" s="8"/>
      <c r="DZ63" s="9"/>
      <c r="EA63" s="9"/>
      <c r="EB63" s="121"/>
      <c r="EC63" s="128"/>
      <c r="ED63" s="128"/>
      <c r="EE63" s="128"/>
      <c r="EF63" s="13"/>
      <c r="EG63" s="13"/>
      <c r="EI63" s="152"/>
    </row>
    <row r="64" spans="1:258" x14ac:dyDescent="0.2">
      <c r="A64" s="7">
        <v>61</v>
      </c>
      <c r="B64" s="119" t="s">
        <v>403</v>
      </c>
      <c r="C64" s="9" t="s">
        <v>5</v>
      </c>
      <c r="D64" s="9" t="s">
        <v>60</v>
      </c>
      <c r="E64" s="10">
        <v>0</v>
      </c>
      <c r="F64" s="10">
        <v>33.129587724328104</v>
      </c>
      <c r="G64" s="9">
        <f t="shared" si="12"/>
        <v>2</v>
      </c>
      <c r="H64" s="93">
        <v>0</v>
      </c>
      <c r="I64" s="46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96"/>
      <c r="U64" s="297"/>
      <c r="V64" s="298"/>
      <c r="W64" s="11"/>
      <c r="X64" s="96"/>
      <c r="Y64" s="96"/>
      <c r="Z64" s="96"/>
      <c r="AA64" s="96"/>
      <c r="AB64" s="96"/>
      <c r="AC64" s="96"/>
      <c r="AD64" s="96"/>
      <c r="AE64" s="96"/>
      <c r="AF64" s="110"/>
      <c r="AG64" s="11"/>
      <c r="AH64" s="11"/>
      <c r="AI64" s="11"/>
      <c r="AJ64" s="11"/>
      <c r="AK64" s="11"/>
      <c r="AL64" s="11"/>
      <c r="AM64" s="11">
        <f>(INDEX('Race 31'!$E$8:$E$200,(MATCH($B64,'Race 31'!$B$8:$B$200,0)),1))*100</f>
        <v>31.306933619859656</v>
      </c>
      <c r="AN64" s="250">
        <f>(INDEX('Race 32'!$E$8:$E$200,(MATCH($B64,'Race 32'!$B$8:$B$200,0)),1))*100</f>
        <v>34.952241828796559</v>
      </c>
      <c r="AO64" s="25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96"/>
      <c r="BA64" s="11"/>
      <c r="BB64" s="11"/>
      <c r="BC64" s="96"/>
      <c r="BD64" s="11"/>
      <c r="BE64" s="96"/>
      <c r="BF64" s="11"/>
      <c r="BG64" s="11"/>
      <c r="BH64" s="11"/>
      <c r="BI64" s="11"/>
      <c r="BJ64" s="11"/>
      <c r="BK64" s="11"/>
      <c r="BL64" s="11"/>
      <c r="BM64" s="11"/>
      <c r="BN64" s="96"/>
      <c r="BO64" s="11"/>
      <c r="BP64" s="11"/>
      <c r="BQ64" s="11"/>
      <c r="BR64" s="11"/>
      <c r="BS64" s="11"/>
      <c r="BT64" s="11"/>
      <c r="BU64" s="11"/>
      <c r="BV64" s="11"/>
      <c r="BW64" s="96"/>
      <c r="BX64" s="11"/>
      <c r="BY64" s="11"/>
      <c r="BZ64" s="11"/>
      <c r="CA64" s="11"/>
      <c r="CB64" s="11"/>
      <c r="CC64" s="11"/>
      <c r="CD64" s="11"/>
      <c r="CE64" s="11"/>
      <c r="CF64" s="11"/>
      <c r="CG64" s="96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96"/>
      <c r="CY64" s="96"/>
      <c r="CZ64" s="11"/>
      <c r="DA64" s="26">
        <f t="shared" si="13"/>
        <v>33.129587724328104</v>
      </c>
      <c r="DB64" s="53" t="str">
        <f t="shared" si="14"/>
        <v>Hathcock, Tara</v>
      </c>
      <c r="DC64" s="68">
        <f t="shared" si="15"/>
        <v>1</v>
      </c>
      <c r="DD64" s="62">
        <v>66.367715995604314</v>
      </c>
      <c r="DE64" s="209">
        <f t="shared" si="16"/>
        <v>32.553392673998331</v>
      </c>
      <c r="DF64" s="115">
        <f t="shared" si="21"/>
        <v>0</v>
      </c>
      <c r="DG64" s="4">
        <f t="shared" si="17"/>
        <v>2</v>
      </c>
      <c r="DH64" s="115">
        <f t="shared" si="18"/>
        <v>2</v>
      </c>
      <c r="DI64" s="115" t="str">
        <f t="shared" si="19"/>
        <v>SD</v>
      </c>
      <c r="DJ64" s="62">
        <f>IF(COUNT(I64:U64)&lt;5,DA64,SUMPRODUCT(LARGE(I64:U64,{1,2,3,4,5}))/5)</f>
        <v>33.129587724328104</v>
      </c>
      <c r="DK64" s="62">
        <f>IF(COUNT(I64:AN64)&lt;5,DA64,SUMPRODUCT(LARGE(I64:AN64,{1,2,3,4,5}))/5)</f>
        <v>33.129587724328104</v>
      </c>
      <c r="DL64" s="209">
        <f>IF(COUNT(J64:CZ64)&lt;5,AVERAGE(J64:CZ64),SUMPRODUCT(LARGE(J64:CZ64,{1,2,3,4,5}))/5)</f>
        <v>33.129587724328104</v>
      </c>
      <c r="DM64" s="62">
        <f t="shared" si="10"/>
        <v>32.553392673998331</v>
      </c>
      <c r="DN64" s="13" t="str">
        <f t="shared" si="20"/>
        <v>Hathcock, Tara</v>
      </c>
      <c r="DO64" s="7">
        <v>61</v>
      </c>
      <c r="DP64" s="8"/>
      <c r="DQ64" s="9"/>
      <c r="DR64" s="9"/>
      <c r="DS64" s="121"/>
      <c r="DT64" s="128"/>
      <c r="DU64" s="128"/>
      <c r="DV64" s="128"/>
      <c r="DW64" s="13"/>
      <c r="DX64" s="7"/>
      <c r="DY64" s="16"/>
      <c r="DZ64" s="9"/>
      <c r="EA64" s="9"/>
      <c r="EB64" s="139"/>
      <c r="EC64" s="15"/>
      <c r="ED64" s="128"/>
      <c r="EE64" s="128"/>
      <c r="EF64" s="13"/>
      <c r="EG64" s="13"/>
      <c r="EI64" s="152"/>
    </row>
    <row r="65" spans="1:139" x14ac:dyDescent="0.2">
      <c r="A65" s="7">
        <v>62</v>
      </c>
      <c r="B65" s="119" t="s">
        <v>354</v>
      </c>
      <c r="C65" s="9" t="s">
        <v>6</v>
      </c>
      <c r="D65" s="9" t="s">
        <v>31</v>
      </c>
      <c r="E65" s="10">
        <v>62.965221788556477</v>
      </c>
      <c r="F65" s="10">
        <v>62.965221788556477</v>
      </c>
      <c r="G65" s="9">
        <f t="shared" si="12"/>
        <v>1</v>
      </c>
      <c r="H65" s="93">
        <v>0</v>
      </c>
      <c r="I65" s="46"/>
      <c r="J65" s="11"/>
      <c r="K65" s="11"/>
      <c r="L65" s="11"/>
      <c r="M65" s="11"/>
      <c r="N65" s="11"/>
      <c r="O65" s="11"/>
      <c r="P65" s="11"/>
      <c r="Q65" s="11"/>
      <c r="R65" s="11"/>
      <c r="S65" s="11">
        <f>(INDEX('Race 11'!$E$8:$E$200,(MATCH($B65,'Race 11'!$B$8:$B$200,0)),1))*100</f>
        <v>62.965221788556477</v>
      </c>
      <c r="T65" s="96"/>
      <c r="U65" s="297"/>
      <c r="V65" s="298"/>
      <c r="W65" s="11"/>
      <c r="X65" s="96"/>
      <c r="Y65" s="96"/>
      <c r="Z65" s="96"/>
      <c r="AA65" s="96"/>
      <c r="AB65" s="96"/>
      <c r="AC65" s="96"/>
      <c r="AD65" s="96"/>
      <c r="AE65" s="96"/>
      <c r="AF65" s="96"/>
      <c r="AG65" s="11"/>
      <c r="AH65" s="11"/>
      <c r="AI65" s="11"/>
      <c r="AJ65" s="11"/>
      <c r="AK65" s="11"/>
      <c r="AL65" s="11"/>
      <c r="AM65" s="11"/>
      <c r="AN65" s="250"/>
      <c r="AO65" s="25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96"/>
      <c r="BA65" s="11"/>
      <c r="BB65" s="11"/>
      <c r="BC65" s="96"/>
      <c r="BD65" s="11"/>
      <c r="BE65" s="96"/>
      <c r="BF65" s="11"/>
      <c r="BG65" s="11"/>
      <c r="BH65" s="11"/>
      <c r="BI65" s="11"/>
      <c r="BJ65" s="11"/>
      <c r="BK65" s="11"/>
      <c r="BL65" s="11"/>
      <c r="BM65" s="11"/>
      <c r="BN65" s="96"/>
      <c r="BO65" s="11"/>
      <c r="BP65" s="11"/>
      <c r="BQ65" s="11"/>
      <c r="BR65" s="11"/>
      <c r="BS65" s="11"/>
      <c r="BT65" s="11"/>
      <c r="BU65" s="11"/>
      <c r="BV65" s="11"/>
      <c r="BW65" s="96"/>
      <c r="BX65" s="11"/>
      <c r="BY65" s="11"/>
      <c r="BZ65" s="11"/>
      <c r="CA65" s="11"/>
      <c r="CB65" s="11"/>
      <c r="CC65" s="11"/>
      <c r="CD65" s="11"/>
      <c r="CE65" s="11"/>
      <c r="CF65" s="11"/>
      <c r="CG65" s="96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96"/>
      <c r="CY65" s="96"/>
      <c r="CZ65" s="11"/>
      <c r="DA65" s="26">
        <f t="shared" si="13"/>
        <v>62.965221788556477</v>
      </c>
      <c r="DB65" s="53" t="str">
        <f t="shared" si="14"/>
        <v xml:space="preserve">Hegg, Stormy </v>
      </c>
      <c r="DC65" s="68">
        <f t="shared" si="15"/>
        <v>1</v>
      </c>
      <c r="DD65" s="62">
        <v>66.367715995604314</v>
      </c>
      <c r="DE65" s="209">
        <f t="shared" si="16"/>
        <v>61.870120652998402</v>
      </c>
      <c r="DF65" s="115">
        <f t="shared" si="21"/>
        <v>1</v>
      </c>
      <c r="DG65" s="4">
        <f t="shared" si="17"/>
        <v>1</v>
      </c>
      <c r="DH65" s="115">
        <f t="shared" si="18"/>
        <v>1</v>
      </c>
      <c r="DI65" s="115" t="str">
        <f t="shared" si="19"/>
        <v>MN</v>
      </c>
      <c r="DJ65" s="62">
        <f>IF(COUNT(I65:U65)&lt;5,DA65,SUMPRODUCT(LARGE(I65:U65,{1,2,3,4,5}))/5)</f>
        <v>62.965221788556477</v>
      </c>
      <c r="DK65" s="62">
        <f>IF(COUNT(I65:AN65)&lt;5,DA65,SUMPRODUCT(LARGE(I65:AN65,{1,2,3,4,5}))/5)</f>
        <v>62.965221788556477</v>
      </c>
      <c r="DL65" s="209">
        <f>IF(COUNT(J65:CZ65)&lt;5,AVERAGE(J65:CZ65),SUMPRODUCT(LARGE(J65:CZ65,{1,2,3,4,5}))/5)</f>
        <v>62.965221788556477</v>
      </c>
      <c r="DM65" s="62">
        <f t="shared" si="10"/>
        <v>61.870120652998402</v>
      </c>
      <c r="DN65" s="13" t="str">
        <f t="shared" si="20"/>
        <v xml:space="preserve">Hegg, Stormy </v>
      </c>
      <c r="DO65" s="7">
        <v>62</v>
      </c>
      <c r="DP65" s="8"/>
      <c r="DQ65" s="9"/>
      <c r="DR65" s="9"/>
      <c r="DS65" s="121"/>
      <c r="DT65" s="128"/>
      <c r="DU65" s="128"/>
      <c r="DV65" s="128"/>
      <c r="DW65" s="13"/>
      <c r="DX65" s="7"/>
      <c r="DY65" s="136"/>
      <c r="DZ65" s="9"/>
      <c r="EA65" s="9"/>
      <c r="EB65" s="121"/>
      <c r="EC65" s="128"/>
      <c r="ED65" s="128"/>
      <c r="EE65" s="128"/>
      <c r="EF65" s="13"/>
      <c r="EG65" s="13"/>
      <c r="EI65" s="152"/>
    </row>
    <row r="66" spans="1:139" x14ac:dyDescent="0.2">
      <c r="A66" s="7">
        <v>63</v>
      </c>
      <c r="B66" s="119" t="s">
        <v>311</v>
      </c>
      <c r="C66" s="9" t="s">
        <v>5</v>
      </c>
      <c r="D66" s="9" t="s">
        <v>37</v>
      </c>
      <c r="E66" s="10">
        <v>55.890232926742982</v>
      </c>
      <c r="F66" s="10">
        <v>55.890232926742982</v>
      </c>
      <c r="G66" s="9">
        <f t="shared" si="12"/>
        <v>4</v>
      </c>
      <c r="H66" s="93">
        <v>43.718422824106256</v>
      </c>
      <c r="I66" s="46"/>
      <c r="J66" s="11"/>
      <c r="K66" s="11"/>
      <c r="L66" s="11"/>
      <c r="M66" s="11"/>
      <c r="N66" s="11"/>
      <c r="O66" s="11">
        <f>(INDEX('Race 7'!$E$8:$E$200,(MATCH($B66,'Race 7'!$B$8:$B$200,0)),1))*100</f>
        <v>55.877849644777932</v>
      </c>
      <c r="P66" s="11">
        <f>(INDEX('Race 8'!$E$8:$E$200,(MATCH($B66,'Race 8'!$B$8:$B$200,0)),1))*100</f>
        <v>55.263219628217541</v>
      </c>
      <c r="Q66" s="11">
        <f>(INDEX('Race 9'!$E$8:$E$200,(MATCH($B66,'Race 9'!$B$8:$B$200,0)),1))*100</f>
        <v>56.529629507233473</v>
      </c>
      <c r="R66" s="11"/>
      <c r="S66" s="11"/>
      <c r="T66" s="96"/>
      <c r="U66" s="297"/>
      <c r="V66" s="298"/>
      <c r="W66" s="11"/>
      <c r="X66" s="96"/>
      <c r="Y66" s="96"/>
      <c r="Z66" s="96"/>
      <c r="AA66" s="96"/>
      <c r="AB66" s="96"/>
      <c r="AC66" s="96"/>
      <c r="AD66" s="96"/>
      <c r="AE66" s="96"/>
      <c r="AF66" s="110"/>
      <c r="AG66" s="11"/>
      <c r="AH66" s="11"/>
      <c r="AI66" s="11"/>
      <c r="AJ66" s="11"/>
      <c r="AK66" s="11"/>
      <c r="AL66" s="11"/>
      <c r="AM66" s="11"/>
      <c r="AN66" s="250"/>
      <c r="AO66" s="251"/>
      <c r="AP66" s="11"/>
      <c r="AQ66" s="11"/>
      <c r="AR66" s="11"/>
      <c r="AS66" s="11"/>
      <c r="AT66" s="11"/>
      <c r="AU66" s="11"/>
      <c r="AV66" s="11"/>
      <c r="AW66" s="11"/>
      <c r="AX66" s="11">
        <f>(INDEX('Race 42'!$E$8:$E$200,(MATCH($B66,'Race 42'!$B$8:$B$200,0)),1))*100</f>
        <v>64.257457488359691</v>
      </c>
      <c r="AY66" s="11"/>
      <c r="AZ66" s="96"/>
      <c r="BA66" s="11"/>
      <c r="BB66" s="11"/>
      <c r="BC66" s="96"/>
      <c r="BD66" s="11"/>
      <c r="BE66" s="96"/>
      <c r="BF66" s="11"/>
      <c r="BG66" s="11"/>
      <c r="BH66" s="11"/>
      <c r="BI66" s="11"/>
      <c r="BJ66" s="11"/>
      <c r="BK66" s="11"/>
      <c r="BL66" s="11"/>
      <c r="BM66" s="11"/>
      <c r="BN66" s="96"/>
      <c r="BO66" s="11"/>
      <c r="BP66" s="11"/>
      <c r="BQ66" s="11"/>
      <c r="BR66" s="11"/>
      <c r="BS66" s="11"/>
      <c r="BT66" s="11"/>
      <c r="BU66" s="11"/>
      <c r="BV66" s="11"/>
      <c r="BW66" s="96"/>
      <c r="BX66" s="11"/>
      <c r="BY66" s="11"/>
      <c r="BZ66" s="11"/>
      <c r="CA66" s="11"/>
      <c r="CB66" s="11"/>
      <c r="CC66" s="11"/>
      <c r="CD66" s="11"/>
      <c r="CE66" s="11"/>
      <c r="CF66" s="11"/>
      <c r="CG66" s="96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96"/>
      <c r="CY66" s="96"/>
      <c r="CZ66" s="11"/>
      <c r="DA66" s="26">
        <f t="shared" si="13"/>
        <v>57.982039067147156</v>
      </c>
      <c r="DB66" s="53" t="str">
        <f t="shared" si="14"/>
        <v>Hernandez, Naomi</v>
      </c>
      <c r="DC66" s="68">
        <f t="shared" si="15"/>
        <v>1</v>
      </c>
      <c r="DD66" s="62">
        <v>43.718422824106256</v>
      </c>
      <c r="DE66" s="209">
        <f t="shared" si="16"/>
        <v>56.973606236756567</v>
      </c>
      <c r="DF66" s="115">
        <f t="shared" si="21"/>
        <v>3</v>
      </c>
      <c r="DG66" s="4">
        <f t="shared" si="17"/>
        <v>3</v>
      </c>
      <c r="DH66" s="115">
        <f t="shared" si="18"/>
        <v>4</v>
      </c>
      <c r="DI66" s="115" t="str">
        <f t="shared" si="19"/>
        <v>CO</v>
      </c>
      <c r="DJ66" s="62">
        <f>IF(COUNT(I66:U66)&lt;5,DA66,SUMPRODUCT(LARGE(I66:U66,{1,2,3,4,5}))/5)</f>
        <v>57.982039067147156</v>
      </c>
      <c r="DK66" s="62">
        <f>IF(COUNT(I66:AN66)&lt;5,DA66,SUMPRODUCT(LARGE(I66:AN66,{1,2,3,4,5}))/5)</f>
        <v>57.982039067147156</v>
      </c>
      <c r="DL66" s="209">
        <f>IF(COUNT(J66:CZ66)&lt;5,AVERAGE(J66:CZ66),SUMPRODUCT(LARGE(J66:CZ66,{1,2,3,4,5}))/5)</f>
        <v>57.982039067147156</v>
      </c>
      <c r="DM66" s="62">
        <f t="shared" si="10"/>
        <v>56.973606236756567</v>
      </c>
      <c r="DN66" s="13" t="str">
        <f t="shared" si="20"/>
        <v>Hernandez, Naomi</v>
      </c>
      <c r="DO66" s="7">
        <v>63</v>
      </c>
      <c r="DP66" s="8"/>
      <c r="DQ66" s="9"/>
      <c r="DR66" s="9"/>
      <c r="DS66" s="121"/>
      <c r="DT66" s="128"/>
      <c r="DU66" s="128"/>
      <c r="DV66" s="128"/>
      <c r="DW66" s="13"/>
      <c r="DX66" s="7"/>
      <c r="DY66" s="136"/>
      <c r="DZ66" s="9"/>
      <c r="EA66" s="9"/>
      <c r="EB66" s="121"/>
      <c r="EC66" s="128"/>
      <c r="ED66" s="128"/>
      <c r="EE66" s="128"/>
      <c r="EF66" s="13"/>
      <c r="EG66" s="13"/>
      <c r="EI66" s="152"/>
    </row>
    <row r="67" spans="1:139" x14ac:dyDescent="0.2">
      <c r="A67" s="7">
        <v>64</v>
      </c>
      <c r="B67" s="119" t="s">
        <v>256</v>
      </c>
      <c r="C67" s="9" t="s">
        <v>6</v>
      </c>
      <c r="D67" s="9" t="s">
        <v>30</v>
      </c>
      <c r="E67" s="10">
        <v>52.517802433890253</v>
      </c>
      <c r="F67" s="10">
        <v>52.517802433890253</v>
      </c>
      <c r="G67" s="9">
        <f t="shared" si="12"/>
        <v>0</v>
      </c>
      <c r="H67" s="93">
        <v>52.517802433890253</v>
      </c>
      <c r="I67" s="46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96"/>
      <c r="U67" s="297"/>
      <c r="V67" s="298"/>
      <c r="W67" s="11"/>
      <c r="X67" s="96"/>
      <c r="Y67" s="96"/>
      <c r="Z67" s="96"/>
      <c r="AA67" s="96"/>
      <c r="AB67" s="96"/>
      <c r="AC67" s="96"/>
      <c r="AD67" s="96"/>
      <c r="AE67" s="96"/>
      <c r="AF67" s="110"/>
      <c r="AG67" s="11"/>
      <c r="AH67" s="11"/>
      <c r="AI67" s="11"/>
      <c r="AJ67" s="11"/>
      <c r="AK67" s="11"/>
      <c r="AL67" s="11"/>
      <c r="AM67" s="11"/>
      <c r="AN67" s="250"/>
      <c r="AO67" s="25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96"/>
      <c r="BD67" s="11"/>
      <c r="BE67" s="96"/>
      <c r="BF67" s="11"/>
      <c r="BG67" s="11"/>
      <c r="BH67" s="11"/>
      <c r="BI67" s="11"/>
      <c r="BJ67" s="11"/>
      <c r="BK67" s="11"/>
      <c r="BL67" s="11"/>
      <c r="BM67" s="11"/>
      <c r="BN67" s="96"/>
      <c r="BO67" s="11"/>
      <c r="BP67" s="11"/>
      <c r="BQ67" s="11"/>
      <c r="BR67" s="11"/>
      <c r="BS67" s="11"/>
      <c r="BT67" s="11"/>
      <c r="BU67" s="11"/>
      <c r="BV67" s="11"/>
      <c r="BW67" s="96"/>
      <c r="BX67" s="11"/>
      <c r="BY67" s="11"/>
      <c r="BZ67" s="11"/>
      <c r="CA67" s="11"/>
      <c r="CB67" s="11"/>
      <c r="CC67" s="11"/>
      <c r="CD67" s="11"/>
      <c r="CE67" s="11"/>
      <c r="CF67" s="11"/>
      <c r="CG67" s="96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96"/>
      <c r="CY67" s="96"/>
      <c r="CZ67" s="11"/>
      <c r="DA67" s="26">
        <f t="shared" si="13"/>
        <v>52.517802433890253</v>
      </c>
      <c r="DB67" s="53" t="str">
        <f t="shared" si="14"/>
        <v>Hobbs, Emelyne</v>
      </c>
      <c r="DC67" s="68">
        <f t="shared" si="15"/>
        <v>0</v>
      </c>
      <c r="DD67" s="62">
        <v>52.517802433890253</v>
      </c>
      <c r="DE67" s="209">
        <f t="shared" si="16"/>
        <v>0</v>
      </c>
      <c r="DF67" s="115">
        <f t="shared" si="21"/>
        <v>0</v>
      </c>
      <c r="DG67" s="4">
        <f t="shared" si="17"/>
        <v>0</v>
      </c>
      <c r="DH67" s="115">
        <f t="shared" si="18"/>
        <v>0</v>
      </c>
      <c r="DI67" s="115" t="str">
        <f t="shared" si="19"/>
        <v>AK</v>
      </c>
      <c r="DJ67" s="62">
        <f>IF(COUNT(I67:U67)&lt;5,DA67,SUMPRODUCT(LARGE(I67:U67,{1,2,3,4,5}))/5)</f>
        <v>52.517802433890253</v>
      </c>
      <c r="DK67" s="62">
        <f>IF(COUNT(I67:AN67)&lt;5,DA67,SUMPRODUCT(LARGE(I67:AN67,{1,2,3,4,5}))/5)</f>
        <v>52.517802433890253</v>
      </c>
      <c r="DL67" s="209">
        <f>IF(COUNT(J67:CZ67)=0,0,SUMPRODUCT(LARGE(J67:CZ67,{1,2,3,4,5}))/5)</f>
        <v>0</v>
      </c>
      <c r="DM67" s="62">
        <f t="shared" si="10"/>
        <v>0</v>
      </c>
      <c r="DN67" s="13" t="str">
        <f t="shared" si="20"/>
        <v>Hobbs, Emelyne</v>
      </c>
      <c r="DO67" s="7">
        <v>64</v>
      </c>
      <c r="DP67" s="8"/>
      <c r="DQ67" s="9"/>
      <c r="DR67" s="9"/>
      <c r="DS67" s="121"/>
      <c r="DT67" s="128"/>
      <c r="DU67" s="128"/>
      <c r="DV67" s="128"/>
      <c r="DW67" s="13"/>
      <c r="DX67" s="7"/>
      <c r="DY67" s="136"/>
      <c r="DZ67" s="9"/>
      <c r="EA67" s="9"/>
      <c r="EB67" s="121"/>
      <c r="EC67" s="128"/>
      <c r="ED67" s="128"/>
      <c r="EE67" s="128"/>
      <c r="EF67" s="13"/>
      <c r="EG67" s="13"/>
      <c r="EI67" s="152"/>
    </row>
    <row r="68" spans="1:139" x14ac:dyDescent="0.2">
      <c r="A68" s="7">
        <v>65</v>
      </c>
      <c r="B68" s="119" t="s">
        <v>362</v>
      </c>
      <c r="C68" s="9" t="s">
        <v>6</v>
      </c>
      <c r="D68" s="9" t="s">
        <v>35</v>
      </c>
      <c r="E68" s="10">
        <v>68.753202416423022</v>
      </c>
      <c r="F68" s="10">
        <v>68.753202416423022</v>
      </c>
      <c r="G68" s="9">
        <f t="shared" ref="G68:G99" si="22">COUNT(I68:CZ68)</f>
        <v>2</v>
      </c>
      <c r="H68" s="93">
        <v>0</v>
      </c>
      <c r="I68" s="46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>
        <f>(INDEX('Race 12'!$E$8:$E$200,(MATCH($B68,'Race 12'!$B$8:$B$200,0)),1))*100</f>
        <v>66.520324023504102</v>
      </c>
      <c r="U68" s="297">
        <f>(INDEX('Race 13'!$E$8:$E$200,(MATCH($B68,'Race 13'!$B$8:$B$200,0)),1))*100</f>
        <v>70.986080809341928</v>
      </c>
      <c r="V68" s="298"/>
      <c r="W68" s="11"/>
      <c r="X68" s="96"/>
      <c r="Y68" s="96"/>
      <c r="Z68" s="96"/>
      <c r="AA68" s="96"/>
      <c r="AB68" s="96"/>
      <c r="AC68" s="96"/>
      <c r="AD68" s="96"/>
      <c r="AE68" s="96"/>
      <c r="AF68" s="110"/>
      <c r="AG68" s="11"/>
      <c r="AH68" s="11"/>
      <c r="AI68" s="11"/>
      <c r="AJ68" s="11"/>
      <c r="AK68" s="11"/>
      <c r="AL68" s="11"/>
      <c r="AM68" s="11"/>
      <c r="AN68" s="250"/>
      <c r="AO68" s="25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96"/>
      <c r="BA68" s="11"/>
      <c r="BB68" s="11"/>
      <c r="BC68" s="96"/>
      <c r="BD68" s="11"/>
      <c r="BE68" s="96"/>
      <c r="BF68" s="11"/>
      <c r="BG68" s="11"/>
      <c r="BH68" s="11"/>
      <c r="BI68" s="11"/>
      <c r="BJ68" s="11"/>
      <c r="BK68" s="11"/>
      <c r="BL68" s="11"/>
      <c r="BM68" s="11"/>
      <c r="BN68" s="96"/>
      <c r="BO68" s="11"/>
      <c r="BP68" s="11"/>
      <c r="BQ68" s="11"/>
      <c r="BR68" s="11"/>
      <c r="BS68" s="11"/>
      <c r="BT68" s="11"/>
      <c r="BU68" s="11"/>
      <c r="BV68" s="11"/>
      <c r="BW68" s="96"/>
      <c r="BX68" s="11"/>
      <c r="BY68" s="11"/>
      <c r="BZ68" s="11"/>
      <c r="CA68" s="11"/>
      <c r="CB68" s="11"/>
      <c r="CC68" s="11"/>
      <c r="CD68" s="11"/>
      <c r="CE68" s="11"/>
      <c r="CF68" s="11"/>
      <c r="CG68" s="96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96"/>
      <c r="CY68" s="96"/>
      <c r="CZ68" s="11"/>
      <c r="DA68" s="26">
        <f t="shared" ref="DA68:DA99" si="23">IF(DC68&gt;0,AVERAGE(I68:CZ68),H68)</f>
        <v>68.753202416423022</v>
      </c>
      <c r="DB68" s="53" t="str">
        <f t="shared" ref="DB68:DB99" si="24">B68</f>
        <v>Hochschartner, Lucy</v>
      </c>
      <c r="DC68" s="68">
        <f t="shared" ref="DC68:DC99" si="25">IF(G68&gt;0,1,0)</f>
        <v>1</v>
      </c>
      <c r="DD68" s="62">
        <v>66.367715995604314</v>
      </c>
      <c r="DE68" s="209">
        <f t="shared" ref="DE68:DE99" si="26">DM68</f>
        <v>67.557435802714963</v>
      </c>
      <c r="DF68" s="115">
        <f t="shared" si="21"/>
        <v>2</v>
      </c>
      <c r="DG68" s="4">
        <f t="shared" ref="DG68:DG99" si="27">COUNT(I68:AT68)</f>
        <v>2</v>
      </c>
      <c r="DH68" s="115">
        <f t="shared" ref="DH68:DH99" si="28">COUNT(I68:CZ68)</f>
        <v>2</v>
      </c>
      <c r="DI68" s="115" t="str">
        <f t="shared" ref="DI68:DI99" si="29">D68</f>
        <v>WY</v>
      </c>
      <c r="DJ68" s="62">
        <f>IF(COUNT(I68:U68)&lt;5,DA68,SUMPRODUCT(LARGE(I68:U68,{1,2,3,4,5}))/5)</f>
        <v>68.753202416423022</v>
      </c>
      <c r="DK68" s="62">
        <f>IF(COUNT(I68:AN68)&lt;5,DA68,SUMPRODUCT(LARGE(I68:AN68,{1,2,3,4,5}))/5)</f>
        <v>68.753202416423022</v>
      </c>
      <c r="DL68" s="209">
        <f>IF(COUNT(J68:CZ68)&lt;5,AVERAGE(J68:CZ68),SUMPRODUCT(LARGE(J68:CZ68,{1,2,3,4,5}))/5)</f>
        <v>68.753202416423022</v>
      </c>
      <c r="DM68" s="62">
        <f t="shared" si="10"/>
        <v>67.557435802714963</v>
      </c>
      <c r="DN68" s="13" t="str">
        <f t="shared" ref="DN68:DN99" si="30">B68</f>
        <v>Hochschartner, Lucy</v>
      </c>
      <c r="DO68" s="7">
        <v>65</v>
      </c>
      <c r="DP68" s="8"/>
      <c r="DQ68" s="9"/>
      <c r="DR68" s="9"/>
      <c r="DS68" s="121"/>
      <c r="DT68" s="128"/>
      <c r="DU68" s="128"/>
      <c r="DV68" s="128"/>
      <c r="DW68" s="13"/>
      <c r="DX68" s="7"/>
      <c r="DY68" s="136"/>
      <c r="DZ68" s="9"/>
      <c r="EA68" s="9"/>
      <c r="EB68" s="121"/>
      <c r="EC68" s="128"/>
      <c r="ED68" s="128"/>
      <c r="EE68" s="128"/>
      <c r="EF68" s="13"/>
      <c r="EG68" s="13"/>
      <c r="EI68" s="152"/>
    </row>
    <row r="69" spans="1:139" x14ac:dyDescent="0.2">
      <c r="A69" s="7">
        <v>66</v>
      </c>
      <c r="B69" s="119" t="s">
        <v>312</v>
      </c>
      <c r="C69" s="9" t="s">
        <v>5</v>
      </c>
      <c r="D69" s="9" t="s">
        <v>48</v>
      </c>
      <c r="E69" s="10">
        <v>52.452932111557999</v>
      </c>
      <c r="F69" s="10">
        <v>52.452932111557999</v>
      </c>
      <c r="G69" s="9">
        <f t="shared" si="22"/>
        <v>7</v>
      </c>
      <c r="H69" s="93">
        <v>52.452932111557999</v>
      </c>
      <c r="I69" s="46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96"/>
      <c r="U69" s="297"/>
      <c r="V69" s="298"/>
      <c r="W69" s="11"/>
      <c r="X69" s="96"/>
      <c r="Y69" s="96"/>
      <c r="Z69" s="96"/>
      <c r="AA69" s="96"/>
      <c r="AB69" s="96"/>
      <c r="AC69" s="96"/>
      <c r="AD69" s="96"/>
      <c r="AE69" s="96"/>
      <c r="AF69" s="110"/>
      <c r="AG69" s="11"/>
      <c r="AH69" s="11"/>
      <c r="AI69" s="11"/>
      <c r="AJ69" s="11"/>
      <c r="AK69" s="11"/>
      <c r="AL69" s="11"/>
      <c r="AM69" s="11"/>
      <c r="AN69" s="250"/>
      <c r="AO69" s="25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96"/>
      <c r="BA69" s="11"/>
      <c r="BB69" s="11"/>
      <c r="BC69" s="96"/>
      <c r="BD69" s="11"/>
      <c r="BE69" s="96"/>
      <c r="BF69" s="11"/>
      <c r="BG69" s="11"/>
      <c r="BH69" s="11"/>
      <c r="BI69" s="11"/>
      <c r="BJ69" s="11"/>
      <c r="BK69" s="11"/>
      <c r="BL69" s="11"/>
      <c r="BM69" s="11"/>
      <c r="BN69" s="96"/>
      <c r="BO69" s="11"/>
      <c r="BP69" s="11">
        <f>(INDEX('Race 60'!$E$8:$E$200,(MATCH($B69,'Race 60'!$B$8:$B$200,0)),1))*100</f>
        <v>54.790072331815232</v>
      </c>
      <c r="BQ69" s="11"/>
      <c r="BR69" s="11">
        <f>(INDEX('Race 62'!$E$8:$E$200,(MATCH($B69,'Race 62'!$B$8:$B$200,0)),1))*100</f>
        <v>51.035277557425786</v>
      </c>
      <c r="BS69" s="11">
        <f>(INDEX('Race 63'!$E$8:$E$200,(MATCH($B69,'Race 63'!$B$8:$B$200,0)),1))*100</f>
        <v>55.550296737600746</v>
      </c>
      <c r="BT69" s="11">
        <f>(INDEX('Race 64'!$E$8:$E$200,(MATCH($B69,'Race 64'!$B$8:$B$200,0)),1))*100</f>
        <v>52.857185416374229</v>
      </c>
      <c r="BU69" s="11">
        <f>(INDEX('Race 65'!$E$8:$E$200,(MATCH($B69,'Race 65'!$B$8:$B$200,0)),1))*100</f>
        <v>52.529002332772443</v>
      </c>
      <c r="BV69" s="11">
        <f>(INDEX('Race 66'!$E$8:$E$200,(MATCH($B69,'Race 66'!$B$8:$B$200,0)),1))*100</f>
        <v>52.71128556779766</v>
      </c>
      <c r="BW69" s="96">
        <f>(INDEX('Race 67'!$E$8:$E$200,(MATCH($B69,'Race 67'!$B$8:$B$200,0)),1))*100</f>
        <v>69.324738541264253</v>
      </c>
      <c r="BX69" s="11"/>
      <c r="BY69" s="11"/>
      <c r="BZ69" s="11"/>
      <c r="CA69" s="11"/>
      <c r="CB69" s="11"/>
      <c r="CC69" s="11"/>
      <c r="CD69" s="11"/>
      <c r="CE69" s="11"/>
      <c r="CF69" s="11"/>
      <c r="CG69" s="96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96"/>
      <c r="CY69" s="96"/>
      <c r="CZ69" s="11"/>
      <c r="DA69" s="26">
        <f t="shared" si="23"/>
        <v>55.542551212150045</v>
      </c>
      <c r="DB69" s="53" t="str">
        <f t="shared" si="24"/>
        <v>Holan, Lisa</v>
      </c>
      <c r="DC69" s="68">
        <f t="shared" si="25"/>
        <v>1</v>
      </c>
      <c r="DD69" s="62">
        <v>52.452932111557999</v>
      </c>
      <c r="DE69" s="209">
        <f t="shared" si="26"/>
        <v>56.054550180770789</v>
      </c>
      <c r="DF69" s="115">
        <f t="shared" si="21"/>
        <v>0</v>
      </c>
      <c r="DG69" s="4">
        <f t="shared" si="27"/>
        <v>0</v>
      </c>
      <c r="DH69" s="115">
        <f t="shared" si="28"/>
        <v>7</v>
      </c>
      <c r="DI69" s="115" t="str">
        <f t="shared" si="29"/>
        <v>CA</v>
      </c>
      <c r="DJ69" s="62">
        <f>IF(COUNT(I69:U69)&lt;5,DA69,SUMPRODUCT(LARGE(I69:U69,{1,2,3,4,5}))/5)</f>
        <v>55.542551212150045</v>
      </c>
      <c r="DK69" s="62">
        <f>IF(COUNT(I69:AN69)&lt;5,DA69,SUMPRODUCT(LARGE(I69:AN69,{1,2,3,4,5}))/5)</f>
        <v>55.542551212150045</v>
      </c>
      <c r="DL69" s="209">
        <f>IF(COUNT(J69:CZ69)&lt;5,AVERAGE(J69:CZ69),SUMPRODUCT(LARGE(J69:CZ69,{1,2,3,4,5}))/5)</f>
        <v>57.046715718970425</v>
      </c>
      <c r="DM69" s="62">
        <f t="shared" ref="DM69:DM132" si="31">(DL69*100)/101.77</f>
        <v>56.054550180770789</v>
      </c>
      <c r="DN69" s="13" t="str">
        <f t="shared" si="30"/>
        <v>Holan, Lisa</v>
      </c>
      <c r="DO69" s="7">
        <v>66</v>
      </c>
      <c r="DP69" s="53"/>
      <c r="DQ69" s="9"/>
      <c r="DR69" s="9"/>
      <c r="DS69" s="121"/>
      <c r="DT69" s="128"/>
      <c r="DU69" s="128"/>
      <c r="DV69" s="128"/>
      <c r="DW69" s="13"/>
      <c r="DX69" s="7"/>
      <c r="DY69" s="137"/>
      <c r="DZ69" s="9"/>
      <c r="EA69" s="9"/>
      <c r="EB69" s="121"/>
      <c r="EC69" s="128"/>
      <c r="ED69" s="128"/>
      <c r="EE69" s="128"/>
      <c r="EF69" s="13"/>
      <c r="EG69" s="13"/>
      <c r="EI69" s="152"/>
    </row>
    <row r="70" spans="1:139" x14ac:dyDescent="0.2">
      <c r="A70" s="7">
        <v>67</v>
      </c>
      <c r="B70" s="119" t="s">
        <v>459</v>
      </c>
      <c r="C70" s="9" t="s">
        <v>5</v>
      </c>
      <c r="D70" s="9" t="s">
        <v>51</v>
      </c>
      <c r="E70" s="10">
        <v>0</v>
      </c>
      <c r="F70" s="10">
        <v>0</v>
      </c>
      <c r="G70" s="9">
        <f t="shared" si="22"/>
        <v>1</v>
      </c>
      <c r="H70" s="93">
        <v>0</v>
      </c>
      <c r="I70" s="46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96"/>
      <c r="U70" s="297"/>
      <c r="V70" s="298"/>
      <c r="W70" s="11"/>
      <c r="X70" s="96"/>
      <c r="Y70" s="96"/>
      <c r="Z70" s="96"/>
      <c r="AA70" s="96"/>
      <c r="AB70" s="96"/>
      <c r="AC70" s="96"/>
      <c r="AD70" s="96"/>
      <c r="AE70" s="96"/>
      <c r="AF70" s="110"/>
      <c r="AG70" s="11"/>
      <c r="AH70" s="11"/>
      <c r="AI70" s="11"/>
      <c r="AJ70" s="11"/>
      <c r="AK70" s="11"/>
      <c r="AL70" s="11"/>
      <c r="AM70" s="11"/>
      <c r="AN70" s="250"/>
      <c r="AO70" s="25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96"/>
      <c r="BA70" s="11"/>
      <c r="BB70" s="11"/>
      <c r="BC70" s="11"/>
      <c r="BD70" s="11"/>
      <c r="BE70" s="11"/>
      <c r="BF70" s="11"/>
      <c r="BG70" s="11">
        <f>(INDEX('Race 51'!$E$8:$E$200,(MATCH($B70,'Race 51'!$B$8:$B$200,0)),1))*100</f>
        <v>54.602741271055336</v>
      </c>
      <c r="BH70" s="11"/>
      <c r="BI70" s="11"/>
      <c r="BJ70" s="11"/>
      <c r="BK70" s="11"/>
      <c r="BL70" s="11"/>
      <c r="BM70" s="11"/>
      <c r="BN70" s="96"/>
      <c r="BO70" s="11"/>
      <c r="BP70" s="11"/>
      <c r="BQ70" s="96"/>
      <c r="BR70" s="11"/>
      <c r="BS70" s="11"/>
      <c r="BT70" s="11"/>
      <c r="BU70" s="11"/>
      <c r="BV70" s="11"/>
      <c r="BW70" s="96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96"/>
      <c r="CY70" s="96"/>
      <c r="CZ70" s="11"/>
      <c r="DA70" s="26">
        <f t="shared" si="23"/>
        <v>54.602741271055336</v>
      </c>
      <c r="DB70" s="53" t="str">
        <f t="shared" si="24"/>
        <v>Holmes, Shannon</v>
      </c>
      <c r="DC70" s="68">
        <f t="shared" si="25"/>
        <v>1</v>
      </c>
      <c r="DD70" s="62">
        <v>0</v>
      </c>
      <c r="DE70" s="209">
        <f t="shared" si="26"/>
        <v>53.653081724531141</v>
      </c>
      <c r="DF70" s="115">
        <f t="shared" si="21"/>
        <v>0</v>
      </c>
      <c r="DG70" s="4">
        <f t="shared" si="27"/>
        <v>0</v>
      </c>
      <c r="DH70" s="115">
        <f t="shared" si="28"/>
        <v>1</v>
      </c>
      <c r="DI70" s="115" t="str">
        <f t="shared" si="29"/>
        <v>WI</v>
      </c>
      <c r="DJ70" s="62">
        <f>IF(COUNT(I70:U70)&lt;5,DA70,SUMPRODUCT(LARGE(I70:U70,{1,2,3,4,5}))/5)</f>
        <v>54.602741271055336</v>
      </c>
      <c r="DK70" s="62">
        <f>IF(COUNT(I70:AN70)&lt;5,DA70,SUMPRODUCT(LARGE(I70:AN70,{1,2,3,4,5}))/5)</f>
        <v>54.602741271055336</v>
      </c>
      <c r="DL70" s="209">
        <f>IF(COUNT(J70:CZ70)&lt;5,AVERAGE(J70:CZ70),SUMPRODUCT(LARGE(J70:CZ70,{1,2,3,4,5}))/5)</f>
        <v>54.602741271055336</v>
      </c>
      <c r="DM70" s="62">
        <f t="shared" si="31"/>
        <v>53.653081724531141</v>
      </c>
      <c r="DN70" s="13" t="str">
        <f t="shared" si="30"/>
        <v>Holmes, Shannon</v>
      </c>
      <c r="DO70" s="7">
        <v>67</v>
      </c>
      <c r="DP70" s="8"/>
      <c r="DQ70" s="9"/>
      <c r="DR70" s="9"/>
      <c r="DS70" s="121"/>
      <c r="DT70" s="128"/>
      <c r="DU70" s="128"/>
      <c r="DV70" s="128"/>
      <c r="DW70" s="13"/>
      <c r="DX70" s="7"/>
      <c r="DY70" s="16"/>
      <c r="DZ70" s="9"/>
      <c r="EA70" s="9"/>
      <c r="EB70" s="121"/>
      <c r="EC70" s="128"/>
      <c r="ED70" s="128"/>
      <c r="EE70" s="128"/>
      <c r="EF70" s="13"/>
      <c r="EG70" s="13"/>
      <c r="EI70" s="152"/>
    </row>
    <row r="71" spans="1:139" x14ac:dyDescent="0.2">
      <c r="A71" s="7">
        <v>68</v>
      </c>
      <c r="B71" s="8" t="s">
        <v>482</v>
      </c>
      <c r="C71" s="9" t="s">
        <v>5</v>
      </c>
      <c r="D71" s="9" t="s">
        <v>48</v>
      </c>
      <c r="E71" s="10">
        <v>0</v>
      </c>
      <c r="F71" s="10">
        <v>0</v>
      </c>
      <c r="G71" s="9">
        <f t="shared" si="22"/>
        <v>1</v>
      </c>
      <c r="H71" s="93">
        <v>0</v>
      </c>
      <c r="I71" s="46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96"/>
      <c r="U71" s="297"/>
      <c r="V71" s="298"/>
      <c r="W71" s="11"/>
      <c r="X71" s="96"/>
      <c r="Y71" s="96"/>
      <c r="Z71" s="96"/>
      <c r="AA71" s="96"/>
      <c r="AB71" s="96"/>
      <c r="AC71" s="96"/>
      <c r="AD71" s="96"/>
      <c r="AE71" s="96"/>
      <c r="AF71" s="110"/>
      <c r="AG71" s="11"/>
      <c r="AH71" s="11"/>
      <c r="AI71" s="11"/>
      <c r="AJ71" s="11"/>
      <c r="AK71" s="11"/>
      <c r="AL71" s="11"/>
      <c r="AM71" s="11"/>
      <c r="AN71" s="250"/>
      <c r="AO71" s="25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96"/>
      <c r="BA71" s="11"/>
      <c r="BB71" s="11"/>
      <c r="BC71" s="96"/>
      <c r="BD71" s="11"/>
      <c r="BE71" s="96"/>
      <c r="BF71" s="11"/>
      <c r="BG71" s="11"/>
      <c r="BH71" s="11">
        <f>(INDEX('Race 52'!$E$8:$E$200,(MATCH($B71,'Race 52'!$B$8:$B$200,0)),1))*100</f>
        <v>25.096205277261451</v>
      </c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96"/>
      <c r="BX71" s="11"/>
      <c r="BY71" s="11"/>
      <c r="BZ71" s="11"/>
      <c r="CA71" s="11"/>
      <c r="CB71" s="11"/>
      <c r="CC71" s="11"/>
      <c r="CD71" s="11"/>
      <c r="CE71" s="11"/>
      <c r="CF71" s="11"/>
      <c r="CG71" s="96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96"/>
      <c r="CY71" s="96"/>
      <c r="CZ71" s="11"/>
      <c r="DA71" s="26">
        <f t="shared" si="23"/>
        <v>25.096205277261451</v>
      </c>
      <c r="DB71" s="53" t="str">
        <f t="shared" si="24"/>
        <v>HSIEH, Allison</v>
      </c>
      <c r="DC71" s="68">
        <f t="shared" si="25"/>
        <v>1</v>
      </c>
      <c r="DD71" s="62">
        <v>0</v>
      </c>
      <c r="DE71" s="209">
        <f t="shared" si="26"/>
        <v>24.659728090067262</v>
      </c>
      <c r="DF71" s="115">
        <f t="shared" si="21"/>
        <v>0</v>
      </c>
      <c r="DG71" s="4">
        <f t="shared" si="27"/>
        <v>0</v>
      </c>
      <c r="DH71" s="115">
        <f t="shared" si="28"/>
        <v>1</v>
      </c>
      <c r="DI71" s="115" t="str">
        <f t="shared" si="29"/>
        <v>CA</v>
      </c>
      <c r="DJ71" s="62">
        <f>IF(COUNT(I71:U71)&lt;5,DA71,SUMPRODUCT(LARGE(I71:U71,{1,2,3,4,5}))/5)</f>
        <v>25.096205277261451</v>
      </c>
      <c r="DK71" s="62">
        <f>IF(COUNT(I71:AN71)&lt;5,DA71,SUMPRODUCT(LARGE(I71:AN71,{1,2,3,4,5}))/5)</f>
        <v>25.096205277261451</v>
      </c>
      <c r="DL71" s="209">
        <f>IF(COUNT(J71:CZ71)&lt;5,AVERAGE(J71:CZ71),SUMPRODUCT(LARGE(J71:CZ71,{1,2,3,4,5}))/5)</f>
        <v>25.096205277261451</v>
      </c>
      <c r="DM71" s="62">
        <f t="shared" si="31"/>
        <v>24.659728090067262</v>
      </c>
      <c r="DN71" s="13" t="str">
        <f t="shared" si="30"/>
        <v>HSIEH, Allison</v>
      </c>
      <c r="DO71" s="7">
        <v>68</v>
      </c>
      <c r="DP71" s="16"/>
      <c r="DQ71" s="9"/>
      <c r="DR71" s="9"/>
      <c r="DS71" s="121"/>
      <c r="DT71" s="128"/>
      <c r="DU71" s="128"/>
      <c r="DV71" s="128"/>
      <c r="DW71" s="13"/>
      <c r="DX71" s="7"/>
      <c r="DY71" s="16"/>
      <c r="DZ71" s="9"/>
      <c r="EA71" s="9"/>
      <c r="EB71" s="121"/>
      <c r="EC71" s="128"/>
      <c r="ED71" s="128"/>
      <c r="EE71" s="128"/>
      <c r="EF71" s="13"/>
      <c r="EG71" s="13"/>
      <c r="EI71" s="152"/>
    </row>
    <row r="72" spans="1:139" x14ac:dyDescent="0.2">
      <c r="A72" s="7">
        <v>69</v>
      </c>
      <c r="B72" s="119" t="s">
        <v>433</v>
      </c>
      <c r="C72" s="9" t="s">
        <v>5</v>
      </c>
      <c r="D72" s="9" t="s">
        <v>37</v>
      </c>
      <c r="E72" s="10">
        <v>0</v>
      </c>
      <c r="F72" s="10">
        <v>0</v>
      </c>
      <c r="G72" s="9">
        <f t="shared" si="22"/>
        <v>2</v>
      </c>
      <c r="H72" s="93">
        <v>0</v>
      </c>
      <c r="I72" s="46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96"/>
      <c r="U72" s="297"/>
      <c r="V72" s="298"/>
      <c r="W72" s="11"/>
      <c r="X72" s="96"/>
      <c r="Y72" s="96"/>
      <c r="Z72" s="96"/>
      <c r="AA72" s="96"/>
      <c r="AB72" s="96"/>
      <c r="AC72" s="96"/>
      <c r="AD72" s="96"/>
      <c r="AE72" s="96"/>
      <c r="AF72" s="110"/>
      <c r="AG72" s="11"/>
      <c r="AH72" s="11"/>
      <c r="AI72" s="11"/>
      <c r="AJ72" s="11"/>
      <c r="AK72" s="11"/>
      <c r="AL72" s="11"/>
      <c r="AM72" s="11"/>
      <c r="AN72" s="250"/>
      <c r="AO72" s="251"/>
      <c r="AP72" s="11"/>
      <c r="AQ72" s="11"/>
      <c r="AR72" s="11"/>
      <c r="AS72" s="11"/>
      <c r="AT72" s="11"/>
      <c r="AU72" s="11"/>
      <c r="AV72" s="11"/>
      <c r="AW72" s="11">
        <f>(INDEX('Race 41'!$E$8:$E$200,(MATCH($B72,'Race 41'!$B$8:$B$200,0)),1))*100</f>
        <v>52.012161320363546</v>
      </c>
      <c r="AX72" s="11">
        <f>(INDEX('Race 42'!$E$8:$E$200,(MATCH($B72,'Race 42'!$B$8:$B$200,0)),1))*100</f>
        <v>54.873275952119272</v>
      </c>
      <c r="AY72" s="11"/>
      <c r="AZ72" s="96"/>
      <c r="BA72" s="11"/>
      <c r="BB72" s="11"/>
      <c r="BC72" s="96"/>
      <c r="BD72" s="11"/>
      <c r="BE72" s="96"/>
      <c r="BF72" s="11"/>
      <c r="BG72" s="11"/>
      <c r="BH72" s="11"/>
      <c r="BI72" s="11"/>
      <c r="BJ72" s="11"/>
      <c r="BK72" s="11"/>
      <c r="BL72" s="11"/>
      <c r="BM72" s="11"/>
      <c r="BN72" s="96"/>
      <c r="BO72" s="11"/>
      <c r="BP72" s="11"/>
      <c r="BQ72" s="11"/>
      <c r="BR72" s="11"/>
      <c r="BS72" s="11"/>
      <c r="BT72" s="11"/>
      <c r="BU72" s="11"/>
      <c r="BV72" s="11"/>
      <c r="BW72" s="96"/>
      <c r="BX72" s="11"/>
      <c r="BY72" s="11"/>
      <c r="BZ72" s="11"/>
      <c r="CA72" s="11"/>
      <c r="CB72" s="11"/>
      <c r="CC72" s="11"/>
      <c r="CD72" s="11"/>
      <c r="CE72" s="11"/>
      <c r="CF72" s="11"/>
      <c r="CG72" s="96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96"/>
      <c r="CY72" s="96"/>
      <c r="CZ72" s="11"/>
      <c r="DA72" s="26">
        <f t="shared" si="23"/>
        <v>53.442718636241409</v>
      </c>
      <c r="DB72" s="53" t="str">
        <f t="shared" si="24"/>
        <v>Hudon, Kate</v>
      </c>
      <c r="DC72" s="68">
        <f t="shared" si="25"/>
        <v>1</v>
      </c>
      <c r="DD72" s="62">
        <v>66.367715995604314</v>
      </c>
      <c r="DE72" s="209">
        <f t="shared" si="26"/>
        <v>52.513234387581221</v>
      </c>
      <c r="DF72" s="115">
        <f t="shared" si="21"/>
        <v>0</v>
      </c>
      <c r="DG72" s="4">
        <f t="shared" si="27"/>
        <v>0</v>
      </c>
      <c r="DH72" s="115">
        <f t="shared" si="28"/>
        <v>2</v>
      </c>
      <c r="DI72" s="115" t="str">
        <f t="shared" si="29"/>
        <v>CO</v>
      </c>
      <c r="DJ72" s="62">
        <f>IF(COUNT(I72:U72)&lt;5,DA72,SUMPRODUCT(LARGE(I72:U72,{1,2,3,4,5}))/5)</f>
        <v>53.442718636241409</v>
      </c>
      <c r="DK72" s="62">
        <f>IF(COUNT(I72:AN72)&lt;5,DA72,SUMPRODUCT(LARGE(I72:AN72,{1,2,3,4,5}))/5)</f>
        <v>53.442718636241409</v>
      </c>
      <c r="DL72" s="209">
        <f>IF(COUNT(J72:CZ72)&lt;5,AVERAGE(J72:CZ72),SUMPRODUCT(LARGE(J72:CZ72,{1,2,3,4,5}))/5)</f>
        <v>53.442718636241409</v>
      </c>
      <c r="DM72" s="62">
        <f t="shared" si="31"/>
        <v>52.513234387581221</v>
      </c>
      <c r="DN72" s="13" t="str">
        <f t="shared" si="30"/>
        <v>Hudon, Kate</v>
      </c>
      <c r="DO72" s="7">
        <v>69</v>
      </c>
      <c r="DP72" s="16"/>
      <c r="DQ72" s="9"/>
      <c r="DR72" s="9"/>
      <c r="DS72" s="121"/>
      <c r="DT72" s="128"/>
      <c r="DU72" s="128"/>
      <c r="DV72" s="128"/>
      <c r="DW72" s="13"/>
      <c r="DX72" s="7"/>
      <c r="DY72" s="16"/>
      <c r="DZ72" s="9"/>
      <c r="EA72" s="9"/>
      <c r="EB72" s="121"/>
      <c r="EC72" s="128"/>
      <c r="ED72" s="128"/>
      <c r="EE72" s="128"/>
      <c r="EF72" s="13"/>
      <c r="EG72" s="13"/>
      <c r="EI72" s="152"/>
    </row>
    <row r="73" spans="1:139" x14ac:dyDescent="0.2">
      <c r="A73" s="7">
        <v>70</v>
      </c>
      <c r="B73" s="16" t="s">
        <v>62</v>
      </c>
      <c r="C73" s="9" t="s">
        <v>5</v>
      </c>
      <c r="D73" s="9" t="s">
        <v>32</v>
      </c>
      <c r="E73" s="10">
        <v>68.83916201810105</v>
      </c>
      <c r="F73" s="10">
        <v>68.83916201810105</v>
      </c>
      <c r="G73" s="9">
        <f t="shared" si="22"/>
        <v>2</v>
      </c>
      <c r="H73" s="93">
        <v>68.83916201810105</v>
      </c>
      <c r="I73" s="46"/>
      <c r="J73" s="11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299"/>
      <c r="V73" s="300"/>
      <c r="W73" s="96"/>
      <c r="X73" s="96"/>
      <c r="Y73" s="96"/>
      <c r="Z73" s="96"/>
      <c r="AA73" s="96"/>
      <c r="AB73" s="96"/>
      <c r="AC73" s="96"/>
      <c r="AD73" s="96"/>
      <c r="AE73" s="96"/>
      <c r="AF73" s="110"/>
      <c r="AG73" s="96"/>
      <c r="AH73" s="96"/>
      <c r="AI73" s="96"/>
      <c r="AJ73" s="96"/>
      <c r="AK73" s="96"/>
      <c r="AL73" s="96"/>
      <c r="AM73" s="96"/>
      <c r="AN73" s="252"/>
      <c r="AO73" s="251"/>
      <c r="AP73" s="96"/>
      <c r="AQ73" s="11">
        <f>(INDEX('Race 35'!$E$8:$E$200,(MATCH($B73,'Race 35'!$B$8:$B$200,0)),1))*100</f>
        <v>65.992257866555732</v>
      </c>
      <c r="AR73" s="96"/>
      <c r="AS73" s="11">
        <f>(INDEX('Race 37'!$E$8:$E$200,(MATCH($B73,'Race 37'!$B$8:$B$200,0)),1))*100</f>
        <v>66.39758071184167</v>
      </c>
      <c r="AT73" s="96"/>
      <c r="AU73" s="96"/>
      <c r="AV73" s="96"/>
      <c r="AW73" s="11"/>
      <c r="AX73" s="11"/>
      <c r="AY73" s="96"/>
      <c r="AZ73" s="11"/>
      <c r="BA73" s="11"/>
      <c r="BB73" s="11"/>
      <c r="BC73" s="96"/>
      <c r="BD73" s="96"/>
      <c r="BE73" s="96"/>
      <c r="BF73" s="11"/>
      <c r="BG73" s="96"/>
      <c r="BH73" s="96"/>
      <c r="BI73" s="96"/>
      <c r="BJ73" s="96"/>
      <c r="BK73" s="96"/>
      <c r="BL73" s="11"/>
      <c r="BM73" s="11"/>
      <c r="BN73" s="96"/>
      <c r="BO73" s="96"/>
      <c r="BP73" s="96"/>
      <c r="BQ73" s="11"/>
      <c r="BR73" s="96"/>
      <c r="BS73" s="11"/>
      <c r="BT73" s="11"/>
      <c r="BU73" s="11"/>
      <c r="BV73" s="11"/>
      <c r="BW73" s="96"/>
      <c r="BX73" s="96"/>
      <c r="BY73" s="96"/>
      <c r="BZ73" s="96"/>
      <c r="CA73" s="11"/>
      <c r="CB73" s="11"/>
      <c r="CC73" s="11"/>
      <c r="CD73" s="11"/>
      <c r="CE73" s="11"/>
      <c r="CF73" s="96"/>
      <c r="CG73" s="11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11"/>
      <c r="CV73" s="96"/>
      <c r="CW73" s="11"/>
      <c r="CX73" s="96"/>
      <c r="CY73" s="96"/>
      <c r="CZ73" s="96"/>
      <c r="DA73" s="26">
        <f t="shared" si="23"/>
        <v>66.194919289198708</v>
      </c>
      <c r="DB73" s="42" t="str">
        <f t="shared" si="24"/>
        <v>Hynes, Silke</v>
      </c>
      <c r="DC73" s="43">
        <f t="shared" si="25"/>
        <v>1</v>
      </c>
      <c r="DD73" s="62">
        <v>68.83916201810105</v>
      </c>
      <c r="DE73" s="62">
        <f t="shared" si="26"/>
        <v>65.043646741867647</v>
      </c>
      <c r="DF73" s="4">
        <f t="shared" si="21"/>
        <v>0</v>
      </c>
      <c r="DG73" s="4">
        <f t="shared" si="27"/>
        <v>2</v>
      </c>
      <c r="DH73" s="4">
        <f t="shared" si="28"/>
        <v>2</v>
      </c>
      <c r="DI73" s="4" t="str">
        <f t="shared" si="29"/>
        <v>VT</v>
      </c>
      <c r="DJ73" s="62">
        <f>IF(COUNT(I73:U73)&lt;5,DA73,SUMPRODUCT(LARGE(I73:U73,{1,2,3,4,5}))/5)</f>
        <v>66.194919289198708</v>
      </c>
      <c r="DK73" s="62">
        <f>IF(COUNT(I73:AN73)&lt;5,DA73,SUMPRODUCT(LARGE(I73:AN73,{1,2,3,4,5}))/5)</f>
        <v>66.194919289198708</v>
      </c>
      <c r="DL73" s="62">
        <f>IF(COUNT(J73:CZ73)&lt;5,AVERAGE(J73:CZ73),SUMPRODUCT(LARGE(J73:CZ73,{1,2,3,4,5}))/5)</f>
        <v>66.194919289198708</v>
      </c>
      <c r="DM73" s="62">
        <f t="shared" si="31"/>
        <v>65.043646741867647</v>
      </c>
      <c r="DN73" s="13" t="str">
        <f t="shared" si="30"/>
        <v>Hynes, Silke</v>
      </c>
      <c r="DO73" s="7">
        <v>70</v>
      </c>
      <c r="DP73" s="8"/>
      <c r="DQ73" s="9"/>
      <c r="DR73" s="9"/>
      <c r="DS73" s="121"/>
      <c r="DT73" s="128"/>
      <c r="DU73" s="128"/>
      <c r="DV73" s="128"/>
      <c r="DW73" s="13"/>
      <c r="DX73" s="7"/>
      <c r="DY73" s="136"/>
      <c r="DZ73" s="9"/>
      <c r="EA73" s="9"/>
      <c r="EB73" s="139"/>
      <c r="EC73" s="15"/>
      <c r="ED73" s="128"/>
      <c r="EE73" s="128"/>
      <c r="EF73" s="13"/>
      <c r="EG73" s="13"/>
      <c r="EI73" s="152"/>
    </row>
    <row r="74" spans="1:139" x14ac:dyDescent="0.2">
      <c r="A74" s="7">
        <v>71</v>
      </c>
      <c r="B74" s="119" t="s">
        <v>345</v>
      </c>
      <c r="C74" s="9" t="s">
        <v>5</v>
      </c>
      <c r="D74" s="9" t="s">
        <v>51</v>
      </c>
      <c r="E74" s="10">
        <v>85.747923806618275</v>
      </c>
      <c r="F74" s="10">
        <v>87.124655385669783</v>
      </c>
      <c r="G74" s="9">
        <f t="shared" si="22"/>
        <v>12</v>
      </c>
      <c r="H74" s="93">
        <v>0</v>
      </c>
      <c r="I74" s="46"/>
      <c r="J74" s="11"/>
      <c r="K74" s="11"/>
      <c r="L74" s="11"/>
      <c r="M74" s="11"/>
      <c r="N74" s="11"/>
      <c r="O74" s="11">
        <f>(INDEX('Race 7'!$E$8:$E$200,(MATCH($B74,'Race 7'!$B$8:$B$200,0)),1))*100</f>
        <v>86.471699846545548</v>
      </c>
      <c r="P74" s="11">
        <f>(INDEX('Race 8'!$E$8:$E$200,(MATCH($B74,'Race 8'!$B$8:$B$200,0)),1))*100</f>
        <v>88.993227770011273</v>
      </c>
      <c r="Q74" s="11">
        <f>(INDEX('Race 9'!$E$8:$E$200,(MATCH($B74,'Race 9'!$B$8:$B$200,0)),1))*100</f>
        <v>89.710748141322185</v>
      </c>
      <c r="R74" s="11">
        <f>(INDEX('Race 10'!$E$8:$E$200,(MATCH($B74,'Race 10'!$B$8:$B$200,0)),1))*100</f>
        <v>77.816019468594135</v>
      </c>
      <c r="S74" s="11"/>
      <c r="T74" s="96"/>
      <c r="U74" s="297"/>
      <c r="V74" s="298"/>
      <c r="W74" s="11"/>
      <c r="X74" s="96"/>
      <c r="Y74" s="96"/>
      <c r="Z74" s="96"/>
      <c r="AA74" s="96"/>
      <c r="AB74" s="96"/>
      <c r="AC74" s="96"/>
      <c r="AD74" s="96"/>
      <c r="AE74" s="96"/>
      <c r="AF74" s="110"/>
      <c r="AG74" s="11"/>
      <c r="AH74" s="11"/>
      <c r="AI74" s="11">
        <f>(INDEX('Race 27'!$E$8:$E$200,(MATCH($B74,'Race 27'!$B$8:$B$200,0)),1))*100</f>
        <v>83.25002982796714</v>
      </c>
      <c r="AJ74" s="11">
        <f>(INDEX('Race 28'!$E$8:$E$200,(MATCH($B74,'Race 28'!$B$8:$B$200,0)),1))*100</f>
        <v>87.197571342502741</v>
      </c>
      <c r="AK74" s="11"/>
      <c r="AL74" s="11"/>
      <c r="AM74" s="11"/>
      <c r="AN74" s="250"/>
      <c r="AO74" s="251"/>
      <c r="AP74" s="11"/>
      <c r="AQ74" s="11">
        <f>(INDEX('Race 35'!$E$8:$E$200,(MATCH($B74,'Race 35'!$B$8:$B$200,0)),1))*100</f>
        <v>93.415000702558956</v>
      </c>
      <c r="AR74" s="11"/>
      <c r="AS74" s="11">
        <f>(INDEX('Race 37'!$E$8:$E$200,(MATCH($B74,'Race 37'!$B$8:$B$200,0)),1))*100</f>
        <v>92.352771554385626</v>
      </c>
      <c r="AT74" s="11"/>
      <c r="AU74" s="11"/>
      <c r="AV74" s="11"/>
      <c r="AW74" s="11"/>
      <c r="AX74" s="11"/>
      <c r="AY74" s="11"/>
      <c r="AZ74" s="96"/>
      <c r="BA74" s="11"/>
      <c r="BB74" s="11"/>
      <c r="BC74" s="96"/>
      <c r="BD74" s="11"/>
      <c r="BE74" s="96"/>
      <c r="BF74" s="11"/>
      <c r="BG74" s="11">
        <f>(INDEX('Race 51'!$E$8:$E$200,(MATCH($B74,'Race 51'!$B$8:$B$200,0)),1))*100</f>
        <v>87.333449636367803</v>
      </c>
      <c r="BH74" s="11"/>
      <c r="BI74" s="11"/>
      <c r="BJ74" s="11"/>
      <c r="BK74" s="11"/>
      <c r="BL74" s="11"/>
      <c r="BM74" s="11"/>
      <c r="BN74" s="96"/>
      <c r="BO74" s="11">
        <f>(INDEX('Race 59'!$E$8:$E$200,(MATCH($B74,'Race 59'!$B$8:$B$200,0)),1))*100</f>
        <v>89.043462092590403</v>
      </c>
      <c r="BP74" s="11"/>
      <c r="BQ74" s="11">
        <f>(INDEX('Race 61'!$E$8:$E$200,(MATCH($B74,'Race 61'!$B$8:$B$200,0)),1))*100</f>
        <v>85.668026624130121</v>
      </c>
      <c r="BR74" s="11"/>
      <c r="BS74" s="11"/>
      <c r="BT74" s="11"/>
      <c r="BU74" s="11"/>
      <c r="BV74" s="11"/>
      <c r="BW74" s="96">
        <f>(INDEX('Race 67'!$E$8:$E$200,(MATCH($B74,'Race 67'!$B$8:$B$200,0)),1))*100</f>
        <v>85.207517121191955</v>
      </c>
      <c r="BX74" s="11"/>
      <c r="BY74" s="11"/>
      <c r="BZ74" s="11"/>
      <c r="CA74" s="11"/>
      <c r="CB74" s="11"/>
      <c r="CC74" s="11"/>
      <c r="CD74" s="11"/>
      <c r="CE74" s="11"/>
      <c r="CF74" s="11"/>
      <c r="CG74" s="96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96"/>
      <c r="CY74" s="96"/>
      <c r="CZ74" s="11"/>
      <c r="DA74" s="26">
        <f t="shared" si="23"/>
        <v>87.204960344013998</v>
      </c>
      <c r="DB74" s="53" t="str">
        <f t="shared" si="24"/>
        <v>Irwin, Deedra</v>
      </c>
      <c r="DC74" s="68">
        <f t="shared" si="25"/>
        <v>1</v>
      </c>
      <c r="DD74" s="62">
        <v>66.367715995604314</v>
      </c>
      <c r="DE74" s="209">
        <f t="shared" si="26"/>
        <v>89.125520342118193</v>
      </c>
      <c r="DF74" s="115">
        <f t="shared" si="21"/>
        <v>4</v>
      </c>
      <c r="DG74" s="4">
        <f t="shared" si="27"/>
        <v>8</v>
      </c>
      <c r="DH74" s="115">
        <f t="shared" si="28"/>
        <v>12</v>
      </c>
      <c r="DI74" s="115" t="str">
        <f t="shared" si="29"/>
        <v>WI</v>
      </c>
      <c r="DJ74" s="62">
        <f>IF(COUNT(I74:U74)&lt;5,DA74,SUMPRODUCT(LARGE(I74:U74,{1,2,3,4,5}))/5)</f>
        <v>87.204960344013998</v>
      </c>
      <c r="DK74" s="62">
        <f>IF(COUNT(I74:AN74)&lt;5,DA74,SUMPRODUCT(LARGE(I74:AN74,{1,2,3,4,5}))/5)</f>
        <v>87.124655385669783</v>
      </c>
      <c r="DL74" s="209">
        <f>IF(COUNT(J74:CZ74)&lt;5,AVERAGE(J74:CZ74),SUMPRODUCT(LARGE(J74:CZ74,{1,2,3,4,5}))/5)</f>
        <v>90.703042052173686</v>
      </c>
      <c r="DM74" s="62">
        <f t="shared" si="31"/>
        <v>89.125520342118193</v>
      </c>
      <c r="DN74" s="13" t="str">
        <f t="shared" si="30"/>
        <v>Irwin, Deedra</v>
      </c>
      <c r="DO74" s="7">
        <v>71</v>
      </c>
      <c r="DP74" s="136"/>
      <c r="DQ74" s="9"/>
      <c r="DR74" s="9"/>
      <c r="DS74" s="121"/>
      <c r="DT74" s="128"/>
      <c r="DU74" s="128"/>
      <c r="DV74" s="128"/>
      <c r="DW74" s="13"/>
      <c r="DX74" s="7"/>
      <c r="DY74" s="136"/>
      <c r="DZ74" s="9"/>
      <c r="EA74" s="9"/>
      <c r="EB74" s="139"/>
      <c r="EC74" s="15"/>
      <c r="ED74" s="128"/>
      <c r="EE74" s="128"/>
      <c r="EF74" s="13"/>
      <c r="EG74" s="13"/>
      <c r="EI74" s="152"/>
    </row>
    <row r="75" spans="1:139" x14ac:dyDescent="0.2">
      <c r="A75" s="7">
        <v>72</v>
      </c>
      <c r="B75" s="119" t="s">
        <v>417</v>
      </c>
      <c r="C75" s="9" t="s">
        <v>5</v>
      </c>
      <c r="D75" s="9" t="s">
        <v>49</v>
      </c>
      <c r="E75" s="10">
        <v>0</v>
      </c>
      <c r="F75" s="82">
        <v>33.918960567969208</v>
      </c>
      <c r="G75" s="9">
        <f t="shared" si="22"/>
        <v>2</v>
      </c>
      <c r="H75" s="93">
        <v>0</v>
      </c>
      <c r="I75" s="46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299"/>
      <c r="V75" s="298"/>
      <c r="W75" s="96"/>
      <c r="X75" s="96"/>
      <c r="Y75" s="96"/>
      <c r="Z75" s="96"/>
      <c r="AA75" s="96"/>
      <c r="AB75" s="96"/>
      <c r="AC75" s="96"/>
      <c r="AD75" s="96"/>
      <c r="AE75" s="11"/>
      <c r="AF75" s="79"/>
      <c r="AG75" s="96"/>
      <c r="AH75" s="96"/>
      <c r="AI75" s="96"/>
      <c r="AJ75" s="96"/>
      <c r="AK75" s="96"/>
      <c r="AL75" s="96"/>
      <c r="AM75" s="96">
        <f>(INDEX('Race 31'!$E$8:$E$200,(MATCH($B75,'Race 31'!$B$8:$B$200,0)),1))*100</f>
        <v>34.836546805422223</v>
      </c>
      <c r="AN75" s="250">
        <f>(INDEX('Race 32'!$E$8:$E$200,(MATCH($B75,'Race 32'!$B$8:$B$200,0)),1))*100</f>
        <v>33.001374330516192</v>
      </c>
      <c r="AO75" s="251"/>
      <c r="AP75" s="96"/>
      <c r="AQ75" s="11"/>
      <c r="AR75" s="96"/>
      <c r="AS75" s="96"/>
      <c r="AT75" s="96"/>
      <c r="AU75" s="96"/>
      <c r="AV75" s="96"/>
      <c r="AW75" s="11"/>
      <c r="AX75" s="11"/>
      <c r="AY75" s="96"/>
      <c r="AZ75" s="96"/>
      <c r="BA75" s="11"/>
      <c r="BB75" s="11"/>
      <c r="BC75" s="109"/>
      <c r="BD75" s="11"/>
      <c r="BE75" s="109"/>
      <c r="BF75" s="11"/>
      <c r="BG75" s="11"/>
      <c r="BH75" s="11"/>
      <c r="BI75" s="96"/>
      <c r="BJ75" s="11"/>
      <c r="BK75" s="96"/>
      <c r="BL75" s="11"/>
      <c r="BM75" s="11"/>
      <c r="BN75" s="96"/>
      <c r="BO75" s="11"/>
      <c r="BP75" s="96"/>
      <c r="BQ75" s="96"/>
      <c r="BR75" s="96"/>
      <c r="BS75" s="11"/>
      <c r="BT75" s="11"/>
      <c r="BU75" s="11"/>
      <c r="BV75" s="11"/>
      <c r="BW75" s="96"/>
      <c r="BX75" s="11"/>
      <c r="BY75" s="11"/>
      <c r="BZ75" s="11"/>
      <c r="CA75" s="11"/>
      <c r="CB75" s="11"/>
      <c r="CC75" s="11"/>
      <c r="CD75" s="11"/>
      <c r="CE75" s="11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26">
        <f t="shared" si="23"/>
        <v>33.918960567969208</v>
      </c>
      <c r="DB75" s="53" t="str">
        <f t="shared" si="24"/>
        <v>Ives, Stephanie</v>
      </c>
      <c r="DC75" s="68">
        <f t="shared" si="25"/>
        <v>1</v>
      </c>
      <c r="DD75" s="62">
        <v>66.367715995604314</v>
      </c>
      <c r="DE75" s="209">
        <f t="shared" si="26"/>
        <v>33.329036619798771</v>
      </c>
      <c r="DF75" s="115">
        <f t="shared" si="21"/>
        <v>0</v>
      </c>
      <c r="DG75" s="4">
        <f t="shared" si="27"/>
        <v>2</v>
      </c>
      <c r="DH75" s="115">
        <f t="shared" si="28"/>
        <v>2</v>
      </c>
      <c r="DI75" s="115" t="str">
        <f t="shared" si="29"/>
        <v>ID</v>
      </c>
      <c r="DJ75" s="62">
        <f>IF(COUNT(I75:U75)&lt;5,DA75,SUMPRODUCT(LARGE(I75:U75,{1,2,3,4,5}))/5)</f>
        <v>33.918960567969208</v>
      </c>
      <c r="DK75" s="62">
        <f>IF(COUNT(I75:AN75)&lt;5,DA75,SUMPRODUCT(LARGE(I75:AN75,{1,2,3,4,5}))/5)</f>
        <v>33.918960567969208</v>
      </c>
      <c r="DL75" s="209">
        <f>IF(COUNT(J75:CZ75)&lt;5,AVERAGE(J75:CZ75),SUMPRODUCT(LARGE(J75:CZ75,{1,2,3,4,5}))/5)</f>
        <v>33.918960567969208</v>
      </c>
      <c r="DM75" s="62">
        <f t="shared" si="31"/>
        <v>33.329036619798771</v>
      </c>
      <c r="DN75" s="13" t="str">
        <f t="shared" si="30"/>
        <v>Ives, Stephanie</v>
      </c>
      <c r="DO75" s="7">
        <v>72</v>
      </c>
      <c r="DP75" s="16"/>
      <c r="DQ75" s="9"/>
      <c r="DR75" s="9"/>
      <c r="DS75" s="121"/>
      <c r="DT75" s="128"/>
      <c r="DU75" s="128"/>
      <c r="DV75" s="128"/>
      <c r="DW75" s="13"/>
      <c r="DX75" s="7"/>
      <c r="DY75" s="8"/>
      <c r="DZ75" s="9"/>
      <c r="EA75" s="9"/>
      <c r="EB75" s="121"/>
      <c r="EC75" s="128"/>
      <c r="ED75" s="128"/>
      <c r="EE75" s="128"/>
      <c r="EF75" s="13"/>
      <c r="EG75" s="13"/>
      <c r="EI75" s="152"/>
    </row>
    <row r="76" spans="1:139" x14ac:dyDescent="0.2">
      <c r="A76" s="7">
        <v>73</v>
      </c>
      <c r="B76" s="119" t="s">
        <v>479</v>
      </c>
      <c r="C76" s="9" t="s">
        <v>5</v>
      </c>
      <c r="D76" s="9" t="s">
        <v>49</v>
      </c>
      <c r="E76" s="10">
        <v>0</v>
      </c>
      <c r="F76" s="82">
        <v>0</v>
      </c>
      <c r="G76" s="9">
        <f t="shared" si="22"/>
        <v>2</v>
      </c>
      <c r="H76" s="93">
        <v>0</v>
      </c>
      <c r="I76" s="46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96"/>
      <c r="U76" s="297"/>
      <c r="V76" s="298"/>
      <c r="W76" s="11"/>
      <c r="X76" s="96"/>
      <c r="Y76" s="96"/>
      <c r="Z76" s="96"/>
      <c r="AA76" s="96"/>
      <c r="AB76" s="96"/>
      <c r="AC76" s="96"/>
      <c r="AD76" s="96"/>
      <c r="AE76" s="96"/>
      <c r="AF76" s="110"/>
      <c r="AG76" s="11"/>
      <c r="AH76" s="11"/>
      <c r="AI76" s="11"/>
      <c r="AJ76" s="11"/>
      <c r="AK76" s="11"/>
      <c r="AL76" s="11"/>
      <c r="AM76" s="11"/>
      <c r="AN76" s="250"/>
      <c r="AO76" s="25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96"/>
      <c r="BA76" s="11"/>
      <c r="BB76" s="11"/>
      <c r="BC76" s="96"/>
      <c r="BD76" s="11"/>
      <c r="BE76" s="96"/>
      <c r="BF76" s="11"/>
      <c r="BG76" s="11"/>
      <c r="BH76" s="11">
        <f>(INDEX('Race 52'!$E$8:$E$200,(MATCH($B76,'Race 52'!$B$8:$B$200,0)),1))*100</f>
        <v>31.996528936162388</v>
      </c>
      <c r="BI76" s="11">
        <f>(INDEX('Race 53'!$E$8:$E$200,(MATCH($B76,'Race 53'!$B$8:$B$200,0)),1))*100</f>
        <v>39.917185357929398</v>
      </c>
      <c r="BJ76" s="11"/>
      <c r="BK76" s="11"/>
      <c r="BL76" s="11"/>
      <c r="BM76" s="11"/>
      <c r="BN76" s="96"/>
      <c r="BO76" s="11"/>
      <c r="BP76" s="11"/>
      <c r="BQ76" s="11"/>
      <c r="BR76" s="11"/>
      <c r="BS76" s="11"/>
      <c r="BT76" s="11"/>
      <c r="BU76" s="11"/>
      <c r="BV76" s="11"/>
      <c r="BW76" s="96"/>
      <c r="BX76" s="11"/>
      <c r="BY76" s="11"/>
      <c r="BZ76" s="11"/>
      <c r="CA76" s="11"/>
      <c r="CB76" s="11"/>
      <c r="CC76" s="11"/>
      <c r="CD76" s="11"/>
      <c r="CE76" s="11"/>
      <c r="CF76" s="11"/>
      <c r="CG76" s="96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96"/>
      <c r="CY76" s="96"/>
      <c r="CZ76" s="11"/>
      <c r="DA76" s="26">
        <f t="shared" si="23"/>
        <v>35.956857147045895</v>
      </c>
      <c r="DB76" s="53" t="str">
        <f t="shared" si="24"/>
        <v>JAROLIMEK, JAMIE</v>
      </c>
      <c r="DC76" s="68">
        <f t="shared" si="25"/>
        <v>1</v>
      </c>
      <c r="DD76" s="62">
        <v>0</v>
      </c>
      <c r="DE76" s="209">
        <f t="shared" si="26"/>
        <v>35.331489777975726</v>
      </c>
      <c r="DF76" s="115">
        <f t="shared" si="21"/>
        <v>0</v>
      </c>
      <c r="DG76" s="4">
        <f t="shared" si="27"/>
        <v>0</v>
      </c>
      <c r="DH76" s="115">
        <f t="shared" si="28"/>
        <v>2</v>
      </c>
      <c r="DI76" s="115" t="str">
        <f t="shared" si="29"/>
        <v>ID</v>
      </c>
      <c r="DJ76" s="62">
        <f>IF(COUNT(I76:U76)&lt;5,DA76,SUMPRODUCT(LARGE(I76:U76,{1,2,3,4,5}))/5)</f>
        <v>35.956857147045895</v>
      </c>
      <c r="DK76" s="62">
        <f>IF(COUNT(I76:AN76)&lt;5,DA76,SUMPRODUCT(LARGE(I76:AN76,{1,2,3,4,5}))/5)</f>
        <v>35.956857147045895</v>
      </c>
      <c r="DL76" s="209">
        <f>IF(COUNT(J76:CZ76)&lt;5,AVERAGE(J76:CZ76),SUMPRODUCT(LARGE(J76:CZ76,{1,2,3,4,5}))/5)</f>
        <v>35.956857147045895</v>
      </c>
      <c r="DM76" s="62">
        <f t="shared" si="31"/>
        <v>35.331489777975726</v>
      </c>
      <c r="DN76" s="13" t="str">
        <f t="shared" si="30"/>
        <v>JAROLIMEK, JAMIE</v>
      </c>
      <c r="DO76" s="7">
        <v>73</v>
      </c>
      <c r="DP76" s="16"/>
      <c r="DQ76" s="9"/>
      <c r="DR76" s="9"/>
      <c r="DS76" s="121"/>
      <c r="DT76" s="128"/>
      <c r="DU76" s="128"/>
      <c r="DV76" s="128"/>
      <c r="DW76" s="13"/>
      <c r="DX76" s="7"/>
      <c r="DY76" s="136"/>
      <c r="DZ76" s="9"/>
      <c r="EA76" s="9"/>
      <c r="EB76" s="121"/>
      <c r="EC76" s="128"/>
      <c r="ED76" s="128"/>
      <c r="EE76" s="128"/>
      <c r="EF76" s="13"/>
      <c r="EG76" s="13"/>
      <c r="EI76" s="152"/>
    </row>
    <row r="77" spans="1:139" x14ac:dyDescent="0.2">
      <c r="A77" s="7">
        <v>74</v>
      </c>
      <c r="B77" s="119" t="s">
        <v>280</v>
      </c>
      <c r="C77" s="9" t="s">
        <v>5</v>
      </c>
      <c r="D77" s="9" t="s">
        <v>50</v>
      </c>
      <c r="E77" s="10">
        <v>27.633060618318193</v>
      </c>
      <c r="F77" s="10">
        <v>27.633060618318193</v>
      </c>
      <c r="G77" s="9">
        <f t="shared" si="22"/>
        <v>0</v>
      </c>
      <c r="H77" s="93">
        <v>27.633060618318193</v>
      </c>
      <c r="I77" s="46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96"/>
      <c r="U77" s="297"/>
      <c r="V77" s="298"/>
      <c r="W77" s="11"/>
      <c r="X77" s="96"/>
      <c r="Y77" s="96"/>
      <c r="Z77" s="96"/>
      <c r="AA77" s="96"/>
      <c r="AB77" s="96"/>
      <c r="AC77" s="96"/>
      <c r="AD77" s="96"/>
      <c r="AE77" s="96"/>
      <c r="AF77" s="110"/>
      <c r="AG77" s="11"/>
      <c r="AH77" s="11"/>
      <c r="AI77" s="11"/>
      <c r="AJ77" s="11"/>
      <c r="AK77" s="11"/>
      <c r="AL77" s="11"/>
      <c r="AM77" s="11"/>
      <c r="AN77" s="250"/>
      <c r="AO77" s="25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96"/>
      <c r="BA77" s="11"/>
      <c r="BB77" s="11"/>
      <c r="BC77" s="96"/>
      <c r="BD77" s="11"/>
      <c r="BE77" s="96"/>
      <c r="BF77" s="11"/>
      <c r="BG77" s="11"/>
      <c r="BH77" s="11"/>
      <c r="BI77" s="11"/>
      <c r="BJ77" s="11"/>
      <c r="BK77" s="11"/>
      <c r="BL77" s="11"/>
      <c r="BM77" s="11"/>
      <c r="BN77" s="96"/>
      <c r="BO77" s="11"/>
      <c r="BP77" s="11"/>
      <c r="BQ77" s="11"/>
      <c r="BR77" s="11"/>
      <c r="BS77" s="11"/>
      <c r="BT77" s="11"/>
      <c r="BU77" s="11"/>
      <c r="BV77" s="11"/>
      <c r="BW77" s="96"/>
      <c r="BX77" s="11"/>
      <c r="BY77" s="11"/>
      <c r="BZ77" s="11"/>
      <c r="CA77" s="11"/>
      <c r="CB77" s="11"/>
      <c r="CC77" s="11"/>
      <c r="CD77" s="11"/>
      <c r="CE77" s="11"/>
      <c r="CF77" s="11"/>
      <c r="CG77" s="96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96"/>
      <c r="CY77" s="96"/>
      <c r="CZ77" s="11"/>
      <c r="DA77" s="26">
        <f t="shared" si="23"/>
        <v>27.633060618318193</v>
      </c>
      <c r="DB77" s="42" t="str">
        <f t="shared" si="24"/>
        <v>JENNESS, Rebecca</v>
      </c>
      <c r="DC77" s="43">
        <f t="shared" si="25"/>
        <v>0</v>
      </c>
      <c r="DD77" s="62">
        <v>27.633060618318193</v>
      </c>
      <c r="DE77" s="62">
        <f t="shared" si="26"/>
        <v>0</v>
      </c>
      <c r="DF77" s="4">
        <f t="shared" si="21"/>
        <v>0</v>
      </c>
      <c r="DG77" s="4">
        <f t="shared" si="27"/>
        <v>0</v>
      </c>
      <c r="DH77" s="4">
        <f t="shared" si="28"/>
        <v>0</v>
      </c>
      <c r="DI77" s="4" t="str">
        <f t="shared" si="29"/>
        <v>OR</v>
      </c>
      <c r="DJ77" s="62">
        <f>IF(COUNT(I77:U77)&lt;5,DA77,SUMPRODUCT(LARGE(I77:U77,{1,2,3,4,5}))/5)</f>
        <v>27.633060618318193</v>
      </c>
      <c r="DK77" s="62">
        <f>IF(COUNT(I77:AN77)&lt;5,DA77,SUMPRODUCT(LARGE(I77:AN77,{1,2,3,4,5}))/5)</f>
        <v>27.633060618318193</v>
      </c>
      <c r="DL77" s="209">
        <f>IF(COUNT(J77:CZ77)=0,0,SUMPRODUCT(LARGE(J77:CZ77,{1,2,3,4,5}))/5)</f>
        <v>0</v>
      </c>
      <c r="DM77" s="62">
        <f t="shared" si="31"/>
        <v>0</v>
      </c>
      <c r="DN77" s="13" t="str">
        <f t="shared" si="30"/>
        <v>JENNESS, Rebecca</v>
      </c>
      <c r="DO77" s="7">
        <v>74</v>
      </c>
      <c r="DP77" s="16"/>
      <c r="DQ77" s="9"/>
      <c r="DR77" s="9"/>
      <c r="DS77" s="139"/>
      <c r="DT77" s="15"/>
      <c r="DU77" s="128"/>
      <c r="DV77" s="128"/>
      <c r="DW77" s="13"/>
      <c r="DX77" s="7"/>
      <c r="DY77" s="136"/>
      <c r="DZ77" s="9"/>
      <c r="EA77" s="9"/>
      <c r="EB77" s="121"/>
      <c r="EC77" s="128"/>
      <c r="ED77" s="128"/>
      <c r="EE77" s="128"/>
      <c r="EF77" s="13"/>
      <c r="EG77" s="13"/>
      <c r="EI77" s="152"/>
    </row>
    <row r="78" spans="1:139" x14ac:dyDescent="0.2">
      <c r="A78" s="7">
        <v>75</v>
      </c>
      <c r="B78" s="119" t="s">
        <v>478</v>
      </c>
      <c r="C78" s="9" t="s">
        <v>5</v>
      </c>
      <c r="D78" s="9" t="s">
        <v>30</v>
      </c>
      <c r="E78" s="10">
        <v>0</v>
      </c>
      <c r="F78" s="10">
        <v>0</v>
      </c>
      <c r="G78" s="9">
        <f t="shared" si="22"/>
        <v>2</v>
      </c>
      <c r="H78" s="93">
        <v>0</v>
      </c>
      <c r="I78" s="46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96"/>
      <c r="U78" s="297"/>
      <c r="V78" s="298"/>
      <c r="W78" s="11"/>
      <c r="X78" s="96"/>
      <c r="Y78" s="96"/>
      <c r="Z78" s="96"/>
      <c r="AA78" s="96"/>
      <c r="AB78" s="96"/>
      <c r="AC78" s="96"/>
      <c r="AD78" s="96"/>
      <c r="AE78" s="96"/>
      <c r="AF78" s="110"/>
      <c r="AG78" s="11"/>
      <c r="AH78" s="11"/>
      <c r="AI78" s="11"/>
      <c r="AJ78" s="11"/>
      <c r="AK78" s="11"/>
      <c r="AL78" s="11"/>
      <c r="AM78" s="11"/>
      <c r="AN78" s="250"/>
      <c r="AO78" s="25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96"/>
      <c r="BA78" s="11"/>
      <c r="BB78" s="11"/>
      <c r="BC78" s="96"/>
      <c r="BD78" s="11"/>
      <c r="BE78" s="96"/>
      <c r="BF78" s="11"/>
      <c r="BG78" s="11"/>
      <c r="BH78" s="11">
        <f>(INDEX('Race 52'!$E$8:$E$200,(MATCH($B78,'Race 52'!$B$8:$B$200,0)),1))*100</f>
        <v>33.884332883229249</v>
      </c>
      <c r="BI78" s="11">
        <f>(INDEX('Race 53'!$E$8:$E$200,(MATCH($B78,'Race 53'!$B$8:$B$200,0)),1))*100</f>
        <v>39.77206299884368</v>
      </c>
      <c r="BJ78" s="11"/>
      <c r="BK78" s="11"/>
      <c r="BL78" s="11"/>
      <c r="BM78" s="11"/>
      <c r="BN78" s="96"/>
      <c r="BO78" s="11"/>
      <c r="BP78" s="11"/>
      <c r="BQ78" s="11"/>
      <c r="BR78" s="11"/>
      <c r="BS78" s="11"/>
      <c r="BT78" s="11"/>
      <c r="BU78" s="11"/>
      <c r="BV78" s="11"/>
      <c r="BW78" s="96"/>
      <c r="BX78" s="11"/>
      <c r="BY78" s="11"/>
      <c r="BZ78" s="11"/>
      <c r="CA78" s="11"/>
      <c r="CB78" s="11"/>
      <c r="CC78" s="11"/>
      <c r="CD78" s="11"/>
      <c r="CE78" s="11"/>
      <c r="CF78" s="11"/>
      <c r="CG78" s="96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96"/>
      <c r="CY78" s="96"/>
      <c r="CZ78" s="11"/>
      <c r="DA78" s="26">
        <f t="shared" si="23"/>
        <v>36.828197941036464</v>
      </c>
      <c r="DB78" s="53" t="str">
        <f t="shared" si="24"/>
        <v>KANE, JULIE</v>
      </c>
      <c r="DC78" s="68">
        <f t="shared" si="25"/>
        <v>1</v>
      </c>
      <c r="DD78" s="62">
        <v>0</v>
      </c>
      <c r="DE78" s="209">
        <f t="shared" si="26"/>
        <v>36.187676074517505</v>
      </c>
      <c r="DF78" s="115">
        <f t="shared" si="21"/>
        <v>0</v>
      </c>
      <c r="DG78" s="4">
        <f t="shared" si="27"/>
        <v>0</v>
      </c>
      <c r="DH78" s="115">
        <f t="shared" si="28"/>
        <v>2</v>
      </c>
      <c r="DI78" s="115" t="str">
        <f t="shared" si="29"/>
        <v>AK</v>
      </c>
      <c r="DJ78" s="62">
        <f>IF(COUNT(I78:U78)&lt;5,DA78,SUMPRODUCT(LARGE(I78:U78,{1,2,3,4,5}))/5)</f>
        <v>36.828197941036464</v>
      </c>
      <c r="DK78" s="62">
        <f>IF(COUNT(I78:AN78)&lt;5,DA78,SUMPRODUCT(LARGE(I78:AN78,{1,2,3,4,5}))/5)</f>
        <v>36.828197941036464</v>
      </c>
      <c r="DL78" s="209">
        <f>IF(COUNT(J78:CZ78)&lt;5,AVERAGE(J78:CZ78),SUMPRODUCT(LARGE(J78:CZ78,{1,2,3,4,5}))/5)</f>
        <v>36.828197941036464</v>
      </c>
      <c r="DM78" s="62">
        <f t="shared" si="31"/>
        <v>36.187676074517505</v>
      </c>
      <c r="DN78" s="13" t="str">
        <f t="shared" si="30"/>
        <v>KANE, JULIE</v>
      </c>
      <c r="DO78" s="7">
        <v>75</v>
      </c>
      <c r="DP78" s="8"/>
      <c r="DQ78" s="9"/>
      <c r="DR78" s="9"/>
      <c r="DS78" s="121"/>
      <c r="DT78" s="128"/>
      <c r="DU78" s="128"/>
      <c r="DV78" s="128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I78" s="152"/>
    </row>
    <row r="79" spans="1:139" x14ac:dyDescent="0.2">
      <c r="A79" s="7">
        <v>76</v>
      </c>
      <c r="B79" s="119" t="s">
        <v>409</v>
      </c>
      <c r="C79" s="9" t="s">
        <v>5</v>
      </c>
      <c r="D79" s="9" t="s">
        <v>32</v>
      </c>
      <c r="E79" s="10">
        <v>0</v>
      </c>
      <c r="F79" s="82">
        <v>46.257690641663913</v>
      </c>
      <c r="G79" s="9">
        <f t="shared" si="22"/>
        <v>2</v>
      </c>
      <c r="H79" s="93">
        <v>0</v>
      </c>
      <c r="I79" s="46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96"/>
      <c r="U79" s="297"/>
      <c r="V79" s="298"/>
      <c r="W79" s="11"/>
      <c r="X79" s="96"/>
      <c r="Y79" s="96"/>
      <c r="Z79" s="96"/>
      <c r="AA79" s="96"/>
      <c r="AB79" s="96"/>
      <c r="AC79" s="96"/>
      <c r="AD79" s="96"/>
      <c r="AE79" s="96"/>
      <c r="AF79" s="110"/>
      <c r="AG79" s="11"/>
      <c r="AH79" s="11"/>
      <c r="AI79" s="11"/>
      <c r="AJ79" s="11"/>
      <c r="AK79" s="11"/>
      <c r="AL79" s="11"/>
      <c r="AM79" s="11">
        <f>(INDEX('Race 31'!$E$8:$E$200,(MATCH($B79,'Race 31'!$B$8:$B$200,0)),1))*100</f>
        <v>46.457822403785471</v>
      </c>
      <c r="AN79" s="250">
        <f>(INDEX('Race 32'!$E$8:$E$200,(MATCH($B79,'Race 32'!$B$8:$B$200,0)),1))*100</f>
        <v>46.057558879542363</v>
      </c>
      <c r="AO79" s="25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96"/>
      <c r="BA79" s="11"/>
      <c r="BB79" s="11"/>
      <c r="BC79" s="96"/>
      <c r="BD79" s="11"/>
      <c r="BE79" s="96"/>
      <c r="BF79" s="11"/>
      <c r="BG79" s="11"/>
      <c r="BH79" s="11"/>
      <c r="BI79" s="11"/>
      <c r="BJ79" s="11"/>
      <c r="BK79" s="11"/>
      <c r="BL79" s="11"/>
      <c r="BM79" s="11"/>
      <c r="BN79" s="96"/>
      <c r="BO79" s="11"/>
      <c r="BP79" s="11"/>
      <c r="BQ79" s="11"/>
      <c r="BR79" s="11"/>
      <c r="BS79" s="11"/>
      <c r="BT79" s="11"/>
      <c r="BU79" s="11"/>
      <c r="BV79" s="11"/>
      <c r="BW79" s="96"/>
      <c r="BX79" s="11"/>
      <c r="BY79" s="11"/>
      <c r="BZ79" s="11"/>
      <c r="CA79" s="11"/>
      <c r="CB79" s="11"/>
      <c r="CC79" s="11"/>
      <c r="CD79" s="11"/>
      <c r="CE79" s="11"/>
      <c r="CF79" s="11"/>
      <c r="CG79" s="96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20"/>
      <c r="CV79" s="11"/>
      <c r="CW79" s="20"/>
      <c r="CX79" s="96"/>
      <c r="CY79" s="96"/>
      <c r="CZ79" s="11"/>
      <c r="DA79" s="26">
        <f t="shared" si="23"/>
        <v>46.257690641663913</v>
      </c>
      <c r="DB79" s="53" t="str">
        <f t="shared" si="24"/>
        <v>Kasupski, Karin</v>
      </c>
      <c r="DC79" s="68">
        <f t="shared" si="25"/>
        <v>1</v>
      </c>
      <c r="DD79" s="62">
        <v>66.367715995604314</v>
      </c>
      <c r="DE79" s="209">
        <f t="shared" si="26"/>
        <v>45.453169540791897</v>
      </c>
      <c r="DF79" s="115">
        <f t="shared" si="21"/>
        <v>0</v>
      </c>
      <c r="DG79" s="4">
        <f t="shared" si="27"/>
        <v>2</v>
      </c>
      <c r="DH79" s="115">
        <f t="shared" si="28"/>
        <v>2</v>
      </c>
      <c r="DI79" s="115" t="str">
        <f t="shared" si="29"/>
        <v>VT</v>
      </c>
      <c r="DJ79" s="62">
        <f>IF(COUNT(I79:U79)&lt;5,DA79,SUMPRODUCT(LARGE(I79:U79,{1,2,3,4,5}))/5)</f>
        <v>46.257690641663913</v>
      </c>
      <c r="DK79" s="62">
        <f>IF(COUNT(I79:AN79)&lt;5,DA79,SUMPRODUCT(LARGE(I79:AN79,{1,2,3,4,5}))/5)</f>
        <v>46.257690641663913</v>
      </c>
      <c r="DL79" s="209">
        <f>IF(COUNT(J79:CZ79)&lt;5,AVERAGE(J79:CZ79),SUMPRODUCT(LARGE(J79:CZ79,{1,2,3,4,5}))/5)</f>
        <v>46.257690641663913</v>
      </c>
      <c r="DM79" s="62">
        <f t="shared" si="31"/>
        <v>45.453169540791897</v>
      </c>
      <c r="DN79" s="13" t="str">
        <f t="shared" si="30"/>
        <v>Kasupski, Karin</v>
      </c>
      <c r="DO79" s="7">
        <v>76</v>
      </c>
      <c r="DP79" s="8"/>
      <c r="DQ79" s="9"/>
      <c r="DR79" s="9"/>
      <c r="DS79" s="121"/>
      <c r="DT79" s="128"/>
      <c r="DU79" s="128"/>
      <c r="DV79" s="128"/>
      <c r="DW79" s="13"/>
      <c r="DX79" s="13"/>
      <c r="DY79" s="144" t="s">
        <v>81</v>
      </c>
      <c r="DZ79" s="83">
        <f>COUNTIF(DZ4:DZ77,"Jr")</f>
        <v>0</v>
      </c>
      <c r="EA79" s="13"/>
      <c r="EB79" s="13"/>
      <c r="EC79" s="13"/>
      <c r="ED79" s="13"/>
      <c r="EE79" s="13"/>
      <c r="EF79" s="13"/>
      <c r="EG79" s="13"/>
      <c r="EI79" s="152"/>
    </row>
    <row r="80" spans="1:139" x14ac:dyDescent="0.2">
      <c r="A80" s="7">
        <v>77</v>
      </c>
      <c r="B80" s="119" t="s">
        <v>227</v>
      </c>
      <c r="C80" s="9" t="s">
        <v>6</v>
      </c>
      <c r="D80" s="9" t="s">
        <v>31</v>
      </c>
      <c r="E80" s="10">
        <v>75.142356342418267</v>
      </c>
      <c r="F80" s="82">
        <v>75.142356342418267</v>
      </c>
      <c r="G80" s="9">
        <f t="shared" si="22"/>
        <v>2</v>
      </c>
      <c r="H80" s="93">
        <v>73.569229292987899</v>
      </c>
      <c r="I80" s="47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>
        <f>(INDEX('Race 12'!$E$8:$E$200,(MATCH($B80,'Race 12'!$B$8:$B$200,0)),1))*100</f>
        <v>73.73131488942596</v>
      </c>
      <c r="U80" s="297">
        <f>(INDEX('Race 13'!$E$8:$E$200,(MATCH($B80,'Race 13'!$B$8:$B$200,0)),1))*100</f>
        <v>76.553397795410575</v>
      </c>
      <c r="V80" s="298"/>
      <c r="W80" s="11"/>
      <c r="X80" s="96"/>
      <c r="Y80" s="96"/>
      <c r="Z80" s="96"/>
      <c r="AA80" s="96"/>
      <c r="AB80" s="96"/>
      <c r="AC80" s="96"/>
      <c r="AD80" s="96"/>
      <c r="AE80" s="96"/>
      <c r="AF80" s="110"/>
      <c r="AG80" s="11"/>
      <c r="AH80" s="11"/>
      <c r="AI80" s="11"/>
      <c r="AJ80" s="11"/>
      <c r="AK80" s="11"/>
      <c r="AL80" s="11"/>
      <c r="AM80" s="11"/>
      <c r="AN80" s="250"/>
      <c r="AO80" s="251"/>
      <c r="AP80" s="96"/>
      <c r="AQ80" s="11"/>
      <c r="AR80" s="96"/>
      <c r="AS80" s="11"/>
      <c r="AT80" s="11"/>
      <c r="AU80" s="11"/>
      <c r="AV80" s="96"/>
      <c r="AW80" s="11"/>
      <c r="AX80" s="11"/>
      <c r="AY80" s="11"/>
      <c r="AZ80" s="11"/>
      <c r="BA80" s="11"/>
      <c r="BB80" s="11"/>
      <c r="BC80" s="96"/>
      <c r="BD80" s="11"/>
      <c r="BE80" s="96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96"/>
      <c r="BX80" s="11"/>
      <c r="BY80" s="11"/>
      <c r="BZ80" s="11"/>
      <c r="CA80" s="11"/>
      <c r="CB80" s="11"/>
      <c r="CC80" s="11"/>
      <c r="CD80" s="11"/>
      <c r="CE80" s="11"/>
      <c r="CF80" s="11"/>
      <c r="CG80" s="96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20"/>
      <c r="CV80" s="11"/>
      <c r="CW80" s="20"/>
      <c r="CX80" s="96"/>
      <c r="CY80" s="96"/>
      <c r="CZ80" s="11"/>
      <c r="DA80" s="26">
        <f t="shared" si="23"/>
        <v>75.142356342418267</v>
      </c>
      <c r="DB80" s="53" t="str">
        <f t="shared" si="24"/>
        <v>Kautzer, Amanda</v>
      </c>
      <c r="DC80" s="68">
        <f t="shared" si="25"/>
        <v>1</v>
      </c>
      <c r="DD80" s="62">
        <v>73.569229292987899</v>
      </c>
      <c r="DE80" s="209">
        <f t="shared" si="26"/>
        <v>73.835468549099218</v>
      </c>
      <c r="DF80" s="115">
        <f t="shared" si="21"/>
        <v>2</v>
      </c>
      <c r="DG80" s="4">
        <f t="shared" si="27"/>
        <v>2</v>
      </c>
      <c r="DH80" s="115">
        <f t="shared" si="28"/>
        <v>2</v>
      </c>
      <c r="DI80" s="115" t="str">
        <f t="shared" si="29"/>
        <v>MN</v>
      </c>
      <c r="DJ80" s="62">
        <f>IF(COUNT(I80:U80)&lt;5,DA80,SUMPRODUCT(LARGE(I80:U80,{1,2,3,4,5}))/5)</f>
        <v>75.142356342418267</v>
      </c>
      <c r="DK80" s="62">
        <f>IF(COUNT(I80:AN80)&lt;5,DA80,SUMPRODUCT(LARGE(I80:AN80,{1,2,3,4,5}))/5)</f>
        <v>75.142356342418267</v>
      </c>
      <c r="DL80" s="62">
        <f>IF(COUNT(J80:CZ80)&lt;5,AVERAGE(J80:CZ80),SUMPRODUCT(LARGE(J80:CZ80,{1,2,3,4,5}))/5)</f>
        <v>75.142356342418267</v>
      </c>
      <c r="DM80" s="62">
        <f t="shared" si="31"/>
        <v>73.835468549099218</v>
      </c>
      <c r="DN80" s="13" t="str">
        <f t="shared" si="30"/>
        <v>Kautzer, Amanda</v>
      </c>
      <c r="DO80" s="7">
        <v>77</v>
      </c>
      <c r="DP80" s="16"/>
      <c r="DQ80" s="9"/>
      <c r="DR80" s="9"/>
      <c r="DS80" s="139"/>
      <c r="DT80" s="15"/>
      <c r="DU80" s="128"/>
      <c r="DV80" s="128"/>
      <c r="DW80" s="13"/>
      <c r="DX80" s="13"/>
      <c r="DY80" s="144" t="s">
        <v>32</v>
      </c>
      <c r="DZ80" s="83">
        <v>6</v>
      </c>
      <c r="EA80" s="13"/>
      <c r="EB80" s="13"/>
      <c r="EC80" s="13"/>
      <c r="ED80" s="13"/>
      <c r="EE80" s="13"/>
      <c r="EF80" s="13"/>
      <c r="EG80" s="13"/>
      <c r="EI80" s="152"/>
    </row>
    <row r="81" spans="1:139" x14ac:dyDescent="0.2">
      <c r="A81" s="7">
        <v>78</v>
      </c>
      <c r="B81" s="119" t="s">
        <v>412</v>
      </c>
      <c r="C81" s="9" t="s">
        <v>5</v>
      </c>
      <c r="D81" s="9" t="s">
        <v>41</v>
      </c>
      <c r="E81" s="10">
        <v>32.160016027976141</v>
      </c>
      <c r="F81" s="82">
        <v>48.497673329964073</v>
      </c>
      <c r="G81" s="9">
        <f t="shared" si="22"/>
        <v>2</v>
      </c>
      <c r="H81" s="93">
        <v>32.160016027976141</v>
      </c>
      <c r="I81" s="47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96"/>
      <c r="U81" s="297"/>
      <c r="V81" s="298"/>
      <c r="W81" s="11"/>
      <c r="X81" s="96"/>
      <c r="Y81" s="96"/>
      <c r="Z81" s="96"/>
      <c r="AA81" s="96"/>
      <c r="AB81" s="96"/>
      <c r="AC81" s="96"/>
      <c r="AD81" s="96"/>
      <c r="AE81" s="96"/>
      <c r="AF81" s="110"/>
      <c r="AG81" s="11"/>
      <c r="AH81" s="11"/>
      <c r="AI81" s="11"/>
      <c r="AJ81" s="11"/>
      <c r="AK81" s="11"/>
      <c r="AL81" s="11"/>
      <c r="AM81" s="11">
        <f>(INDEX('Race 31'!$E$8:$E$200,(MATCH($B81,'Race 31'!$B$8:$B$200,0)),1))*100</f>
        <v>45.548283462291018</v>
      </c>
      <c r="AN81" s="250">
        <f>(INDEX('Race 32'!$E$8:$E$200,(MATCH($B81,'Race 32'!$B$8:$B$200,0)),1))*100</f>
        <v>51.447063197637121</v>
      </c>
      <c r="AO81" s="25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96"/>
      <c r="BA81" s="11"/>
      <c r="BB81" s="11"/>
      <c r="BC81" s="96"/>
      <c r="BD81" s="11"/>
      <c r="BE81" s="96"/>
      <c r="BF81" s="11"/>
      <c r="BG81" s="11"/>
      <c r="BH81" s="11"/>
      <c r="BI81" s="11"/>
      <c r="BJ81" s="11"/>
      <c r="BK81" s="11"/>
      <c r="BL81" s="11"/>
      <c r="BM81" s="11"/>
      <c r="BN81" s="96"/>
      <c r="BO81" s="11"/>
      <c r="BP81" s="11"/>
      <c r="BQ81" s="11"/>
      <c r="BR81" s="11"/>
      <c r="BS81" s="11"/>
      <c r="BT81" s="11"/>
      <c r="BU81" s="11"/>
      <c r="BV81" s="11"/>
      <c r="BW81" s="96"/>
      <c r="BX81" s="11"/>
      <c r="BY81" s="11"/>
      <c r="BZ81" s="11"/>
      <c r="CA81" s="11"/>
      <c r="CB81" s="11"/>
      <c r="CC81" s="11"/>
      <c r="CD81" s="11"/>
      <c r="CE81" s="11"/>
      <c r="CF81" s="11"/>
      <c r="CG81" s="96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20"/>
      <c r="CV81" s="11"/>
      <c r="CW81" s="20"/>
      <c r="CX81" s="96"/>
      <c r="CY81" s="96"/>
      <c r="CZ81" s="11"/>
      <c r="DA81" s="26">
        <f t="shared" si="23"/>
        <v>48.497673329964073</v>
      </c>
      <c r="DB81" s="42" t="str">
        <f t="shared" si="24"/>
        <v>Kraft, Allsion</v>
      </c>
      <c r="DC81" s="43">
        <f t="shared" si="25"/>
        <v>1</v>
      </c>
      <c r="DD81" s="62">
        <v>32.160016027976141</v>
      </c>
      <c r="DE81" s="62">
        <f t="shared" si="26"/>
        <v>47.654194094491572</v>
      </c>
      <c r="DF81" s="4">
        <f t="shared" si="21"/>
        <v>0</v>
      </c>
      <c r="DG81" s="4">
        <f t="shared" si="27"/>
        <v>2</v>
      </c>
      <c r="DH81" s="4">
        <f t="shared" si="28"/>
        <v>2</v>
      </c>
      <c r="DI81" s="4" t="str">
        <f t="shared" si="29"/>
        <v>MT</v>
      </c>
      <c r="DJ81" s="62">
        <f>IF(COUNT(I81:U81)&lt;5,DA81,SUMPRODUCT(LARGE(I81:U81,{1,2,3,4,5}))/5)</f>
        <v>48.497673329964073</v>
      </c>
      <c r="DK81" s="62">
        <f>IF(COUNT(I81:AN81)&lt;5,DA81,SUMPRODUCT(LARGE(I81:AN81,{1,2,3,4,5}))/5)</f>
        <v>48.497673329964073</v>
      </c>
      <c r="DL81" s="62">
        <f>IF(COUNT(J81:CZ81)&lt;5,AVERAGE(J81:CZ81),SUMPRODUCT(LARGE(J81:CZ81,{1,2,3,4,5}))/5)</f>
        <v>48.497673329964073</v>
      </c>
      <c r="DM81" s="62">
        <f t="shared" si="31"/>
        <v>47.654194094491572</v>
      </c>
      <c r="DN81" s="13" t="str">
        <f t="shared" si="30"/>
        <v>Kraft, Allsion</v>
      </c>
      <c r="DO81" s="7">
        <v>78</v>
      </c>
      <c r="DP81" s="119"/>
      <c r="DQ81" s="9"/>
      <c r="DR81" s="9"/>
      <c r="DS81" s="121"/>
      <c r="DT81" s="128"/>
      <c r="DU81" s="128"/>
      <c r="DV81" s="128"/>
      <c r="DW81" s="13"/>
      <c r="DX81" s="13"/>
      <c r="DY81" s="92" t="s">
        <v>34</v>
      </c>
      <c r="DZ81" s="83">
        <v>5</v>
      </c>
      <c r="EA81" s="13"/>
      <c r="EB81" s="13"/>
      <c r="EC81" s="13"/>
      <c r="ED81" s="13"/>
      <c r="EE81" s="13"/>
      <c r="EF81" s="13"/>
      <c r="EG81" s="13"/>
      <c r="EI81" s="152"/>
    </row>
    <row r="82" spans="1:139" x14ac:dyDescent="0.2">
      <c r="A82" s="7">
        <v>79</v>
      </c>
      <c r="B82" s="119" t="s">
        <v>405</v>
      </c>
      <c r="C82" s="9" t="s">
        <v>5</v>
      </c>
      <c r="D82" s="9" t="s">
        <v>42</v>
      </c>
      <c r="E82" s="10">
        <v>0</v>
      </c>
      <c r="F82" s="82">
        <v>47.961982020716732</v>
      </c>
      <c r="G82" s="9">
        <f t="shared" si="22"/>
        <v>4</v>
      </c>
      <c r="H82" s="93">
        <v>0</v>
      </c>
      <c r="I82" s="47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96"/>
      <c r="U82" s="297"/>
      <c r="V82" s="298"/>
      <c r="W82" s="11"/>
      <c r="X82" s="96"/>
      <c r="Y82" s="96"/>
      <c r="Z82" s="96"/>
      <c r="AA82" s="96"/>
      <c r="AB82" s="96"/>
      <c r="AC82" s="96"/>
      <c r="AD82" s="96"/>
      <c r="AE82" s="96"/>
      <c r="AF82" s="110"/>
      <c r="AG82" s="11"/>
      <c r="AH82" s="11"/>
      <c r="AI82" s="11"/>
      <c r="AJ82" s="11"/>
      <c r="AK82" s="11"/>
      <c r="AL82" s="11"/>
      <c r="AM82" s="11">
        <f>(INDEX('Race 31'!$E$8:$E$200,(MATCH($B82,'Race 31'!$B$8:$B$200,0)),1))*100</f>
        <v>47.291063538966952</v>
      </c>
      <c r="AN82" s="250">
        <f>(INDEX('Race 32'!$E$8:$E$200,(MATCH($B82,'Race 32'!$B$8:$B$200,0)),1))*100</f>
        <v>48.632900502466519</v>
      </c>
      <c r="AO82" s="25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96"/>
      <c r="BA82" s="11"/>
      <c r="BB82" s="11"/>
      <c r="BC82" s="96"/>
      <c r="BD82" s="11"/>
      <c r="BE82" s="96"/>
      <c r="BF82" s="11"/>
      <c r="BG82" s="11"/>
      <c r="BH82" s="11">
        <f>(INDEX('Race 52'!$E$8:$E$200,(MATCH($B82,'Race 52'!$B$8:$B$200,0)),1))*100</f>
        <v>38.777912686933711</v>
      </c>
      <c r="BI82" s="11">
        <f>(INDEX('Race 53'!$E$8:$E$200,(MATCH($B82,'Race 53'!$B$8:$B$200,0)),1))*100</f>
        <v>41.838957611382014</v>
      </c>
      <c r="BJ82" s="11"/>
      <c r="BK82" s="11"/>
      <c r="BL82" s="11"/>
      <c r="BM82" s="11"/>
      <c r="BN82" s="96"/>
      <c r="BO82" s="11"/>
      <c r="BP82" s="11"/>
      <c r="BQ82" s="11"/>
      <c r="BR82" s="11"/>
      <c r="BS82" s="11"/>
      <c r="BT82" s="11"/>
      <c r="BU82" s="11"/>
      <c r="BV82" s="11"/>
      <c r="BW82" s="96"/>
      <c r="BX82" s="11"/>
      <c r="BY82" s="11"/>
      <c r="BZ82" s="11"/>
      <c r="CA82" s="11"/>
      <c r="CB82" s="11"/>
      <c r="CC82" s="11"/>
      <c r="CD82" s="11"/>
      <c r="CE82" s="11"/>
      <c r="CF82" s="11"/>
      <c r="CG82" s="96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20"/>
      <c r="CV82" s="11"/>
      <c r="CW82" s="20"/>
      <c r="CX82" s="96"/>
      <c r="CY82" s="96"/>
      <c r="CZ82" s="11"/>
      <c r="DA82" s="26">
        <f t="shared" si="23"/>
        <v>44.135208584937303</v>
      </c>
      <c r="DB82" s="53" t="str">
        <f t="shared" si="24"/>
        <v>Lafratta, Stephanie</v>
      </c>
      <c r="DC82" s="68">
        <f t="shared" si="25"/>
        <v>1</v>
      </c>
      <c r="DD82" s="62">
        <v>66.367715995604314</v>
      </c>
      <c r="DE82" s="209">
        <f t="shared" si="26"/>
        <v>43.367602029023587</v>
      </c>
      <c r="DF82" s="115">
        <f t="shared" si="21"/>
        <v>0</v>
      </c>
      <c r="DG82" s="4">
        <f t="shared" si="27"/>
        <v>2</v>
      </c>
      <c r="DH82" s="115">
        <f t="shared" si="28"/>
        <v>4</v>
      </c>
      <c r="DI82" s="115" t="str">
        <f t="shared" si="29"/>
        <v>OH</v>
      </c>
      <c r="DJ82" s="62">
        <f>IF(COUNT(I82:U82)&lt;5,DA82,SUMPRODUCT(LARGE(I82:U82,{1,2,3,4,5}))/5)</f>
        <v>44.135208584937303</v>
      </c>
      <c r="DK82" s="62">
        <f>IF(COUNT(I82:AN82)&lt;5,DA82,SUMPRODUCT(LARGE(I82:AN82,{1,2,3,4,5}))/5)</f>
        <v>44.135208584937303</v>
      </c>
      <c r="DL82" s="209">
        <f>IF(COUNT(J82:CZ82)&lt;5,AVERAGE(J82:CZ82),SUMPRODUCT(LARGE(J82:CZ82,{1,2,3,4,5}))/5)</f>
        <v>44.135208584937303</v>
      </c>
      <c r="DM82" s="62">
        <f t="shared" si="31"/>
        <v>43.367602029023587</v>
      </c>
      <c r="DN82" s="13" t="str">
        <f t="shared" si="30"/>
        <v>Lafratta, Stephanie</v>
      </c>
      <c r="DO82" s="7">
        <v>79</v>
      </c>
      <c r="DP82" s="8"/>
      <c r="DQ82" s="9"/>
      <c r="DR82" s="9"/>
      <c r="DS82" s="121"/>
      <c r="DT82" s="128"/>
      <c r="DU82" s="128"/>
      <c r="DV82" s="128"/>
      <c r="DW82" s="13"/>
      <c r="DX82" s="13"/>
      <c r="DY82" s="92" t="s">
        <v>31</v>
      </c>
      <c r="DZ82" s="83">
        <v>9</v>
      </c>
      <c r="EA82" s="13"/>
      <c r="EB82" s="13"/>
      <c r="EC82" s="13"/>
      <c r="ED82" s="13"/>
      <c r="EE82" s="13"/>
      <c r="EF82" s="13"/>
      <c r="EG82" s="13"/>
      <c r="EI82" s="152"/>
    </row>
    <row r="83" spans="1:139" x14ac:dyDescent="0.2">
      <c r="A83" s="7">
        <v>80</v>
      </c>
      <c r="B83" s="119" t="s">
        <v>363</v>
      </c>
      <c r="C83" s="9" t="s">
        <v>6</v>
      </c>
      <c r="D83" s="9" t="s">
        <v>30</v>
      </c>
      <c r="E83" s="10">
        <v>66.816659171057267</v>
      </c>
      <c r="F83" s="82">
        <v>66.816659171057267</v>
      </c>
      <c r="G83" s="9">
        <f t="shared" si="22"/>
        <v>2</v>
      </c>
      <c r="H83" s="93">
        <v>0</v>
      </c>
      <c r="I83" s="47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>
        <f>(INDEX('Race 12'!$E$8:$E$200,(MATCH($B83,'Race 12'!$B$8:$B$200,0)),1))*100</f>
        <v>64.978586722789757</v>
      </c>
      <c r="U83" s="297">
        <f>(INDEX('Race 13'!$E$8:$E$200,(MATCH($B83,'Race 13'!$B$8:$B$200,0)),1))*100</f>
        <v>68.654731619324792</v>
      </c>
      <c r="V83" s="298"/>
      <c r="W83" s="11"/>
      <c r="X83" s="96"/>
      <c r="Y83" s="96"/>
      <c r="Z83" s="96"/>
      <c r="AA83" s="96"/>
      <c r="AB83" s="96"/>
      <c r="AC83" s="96"/>
      <c r="AD83" s="96"/>
      <c r="AE83" s="96"/>
      <c r="AF83" s="110"/>
      <c r="AG83" s="11"/>
      <c r="AH83" s="11"/>
      <c r="AI83" s="11"/>
      <c r="AJ83" s="11"/>
      <c r="AK83" s="11"/>
      <c r="AL83" s="11"/>
      <c r="AM83" s="11"/>
      <c r="AN83" s="250"/>
      <c r="AO83" s="25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96"/>
      <c r="BA83" s="11"/>
      <c r="BB83" s="11"/>
      <c r="BC83" s="96"/>
      <c r="BD83" s="11"/>
      <c r="BE83" s="96"/>
      <c r="BF83" s="11"/>
      <c r="BG83" s="11"/>
      <c r="BH83" s="11"/>
      <c r="BI83" s="11"/>
      <c r="BJ83" s="11"/>
      <c r="BK83" s="11"/>
      <c r="BL83" s="11"/>
      <c r="BM83" s="11"/>
      <c r="BN83" s="96"/>
      <c r="BO83" s="11"/>
      <c r="BP83" s="11"/>
      <c r="BQ83" s="11"/>
      <c r="BR83" s="11"/>
      <c r="BS83" s="11"/>
      <c r="BT83" s="11"/>
      <c r="BU83" s="11"/>
      <c r="BV83" s="11"/>
      <c r="BW83" s="96"/>
      <c r="BX83" s="11"/>
      <c r="BY83" s="11"/>
      <c r="BZ83" s="11"/>
      <c r="CA83" s="11"/>
      <c r="CB83" s="11"/>
      <c r="CC83" s="11"/>
      <c r="CD83" s="11"/>
      <c r="CE83" s="11"/>
      <c r="CF83" s="11"/>
      <c r="CG83" s="96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20"/>
      <c r="CV83" s="11"/>
      <c r="CW83" s="20"/>
      <c r="CX83" s="96"/>
      <c r="CY83" s="96"/>
      <c r="CZ83" s="11"/>
      <c r="DA83" s="26">
        <f t="shared" si="23"/>
        <v>66.816659171057267</v>
      </c>
      <c r="DB83" s="53" t="str">
        <f t="shared" si="24"/>
        <v>Lapkass, Maja</v>
      </c>
      <c r="DC83" s="68">
        <f t="shared" si="25"/>
        <v>1</v>
      </c>
      <c r="DD83" s="62">
        <v>66.367715995604314</v>
      </c>
      <c r="DE83" s="209">
        <f t="shared" si="26"/>
        <v>65.654573224975209</v>
      </c>
      <c r="DF83" s="115">
        <f t="shared" si="21"/>
        <v>2</v>
      </c>
      <c r="DG83" s="4">
        <f t="shared" si="27"/>
        <v>2</v>
      </c>
      <c r="DH83" s="115">
        <f t="shared" si="28"/>
        <v>2</v>
      </c>
      <c r="DI83" s="115" t="str">
        <f t="shared" si="29"/>
        <v>AK</v>
      </c>
      <c r="DJ83" s="62">
        <f>IF(COUNT(I83:U83)&lt;5,DA83,SUMPRODUCT(LARGE(I83:U83,{1,2,3,4,5}))/5)</f>
        <v>66.816659171057267</v>
      </c>
      <c r="DK83" s="62">
        <f>IF(COUNT(I83:AN83)&lt;5,DA83,SUMPRODUCT(LARGE(I83:AN83,{1,2,3,4,5}))/5)</f>
        <v>66.816659171057267</v>
      </c>
      <c r="DL83" s="209">
        <f>IF(COUNT(J83:CZ83)&lt;5,AVERAGE(J83:CZ83),SUMPRODUCT(LARGE(J83:CZ83,{1,2,3,4,5}))/5)</f>
        <v>66.816659171057267</v>
      </c>
      <c r="DM83" s="62">
        <f t="shared" si="31"/>
        <v>65.654573224975209</v>
      </c>
      <c r="DN83" s="13" t="str">
        <f t="shared" si="30"/>
        <v>Lapkass, Maja</v>
      </c>
      <c r="DO83" s="7"/>
      <c r="DP83" s="8"/>
      <c r="DQ83" s="9"/>
      <c r="DR83" s="9"/>
      <c r="DS83" s="121"/>
      <c r="DT83" s="128"/>
      <c r="DU83" s="128"/>
      <c r="DV83" s="128"/>
      <c r="DW83" s="13"/>
      <c r="DX83" s="13"/>
      <c r="DY83" s="92"/>
      <c r="DZ83" s="83"/>
      <c r="EA83" s="13"/>
      <c r="EB83" s="13"/>
      <c r="EC83" s="13"/>
      <c r="ED83" s="13"/>
      <c r="EE83" s="13"/>
      <c r="EF83" s="13"/>
      <c r="EG83" s="13"/>
      <c r="EI83" s="152"/>
    </row>
    <row r="84" spans="1:139" x14ac:dyDescent="0.2">
      <c r="A84" s="7">
        <v>81</v>
      </c>
      <c r="B84" s="119" t="s">
        <v>228</v>
      </c>
      <c r="C84" s="9" t="s">
        <v>6</v>
      </c>
      <c r="D84" s="9" t="s">
        <v>32</v>
      </c>
      <c r="E84" s="10">
        <v>88.502368288866123</v>
      </c>
      <c r="F84" s="82">
        <v>92.503545392490921</v>
      </c>
      <c r="G84" s="9">
        <f t="shared" si="22"/>
        <v>10</v>
      </c>
      <c r="H84" s="93">
        <v>78.993710558583317</v>
      </c>
      <c r="I84" s="47"/>
      <c r="J84" s="11"/>
      <c r="K84" s="11"/>
      <c r="L84" s="11"/>
      <c r="M84" s="11"/>
      <c r="N84" s="11"/>
      <c r="O84" s="11">
        <f>(INDEX('Race 7'!$E$8:$E$200,(MATCH($B84,'Race 7'!$B$8:$B$200,0)),1))*100</f>
        <v>80.178007646922936</v>
      </c>
      <c r="P84" s="11">
        <f>(INDEX('Race 8'!$E$8:$E$200,(MATCH($B84,'Race 8'!$B$8:$B$200,0)),1))*100</f>
        <v>90.206384290345227</v>
      </c>
      <c r="Q84" s="11">
        <f>(INDEX('Race 9'!$E$8:$E$200,(MATCH($B84,'Race 9'!$B$8:$B$200,0)),1))*100</f>
        <v>95.122712929330206</v>
      </c>
      <c r="R84" s="11"/>
      <c r="S84" s="11"/>
      <c r="T84" s="96"/>
      <c r="U84" s="297"/>
      <c r="V84" s="298"/>
      <c r="W84" s="11">
        <f>(INDEX('Race 15'!$E$8:$E$200,(MATCH($B84,'Race 15'!$B$8:$B$200,0)),1))*100</f>
        <v>86.594340136656925</v>
      </c>
      <c r="X84" s="11">
        <f>(INDEX('Race 16'!$E$8:$E$200,(MATCH($B84,'Race 16'!$B$8:$B$200,0)),1))*100</f>
        <v>89.746033509814154</v>
      </c>
      <c r="Y84" s="96"/>
      <c r="Z84" s="96"/>
      <c r="AA84" s="11">
        <f>(INDEX('Race 19'!$E$8:$E$200,(MATCH($B84,'Race 19'!$B$8:$B$200,0)),1))*100</f>
        <v>88.745825727094498</v>
      </c>
      <c r="AB84" s="96"/>
      <c r="AC84" s="11">
        <f>(INDEX('Race 21'!$E$8:$E$200,(MATCH($B84,'Race 21'!$B$8:$B$200,0)),1))*100</f>
        <v>91.381542008598643</v>
      </c>
      <c r="AD84" s="96"/>
      <c r="AE84" s="96"/>
      <c r="AF84" s="110"/>
      <c r="AG84" s="11"/>
      <c r="AH84" s="11"/>
      <c r="AI84" s="11">
        <f>(INDEX('Race 27'!$E$8:$E$200,(MATCH($B84,'Race 27'!$B$8:$B$200,0)),1))*100</f>
        <v>92.452230247137777</v>
      </c>
      <c r="AJ84" s="11">
        <f>(INDEX('Race 28'!$E$8:$E$200,(MATCH($B84,'Race 28'!$B$8:$B$200,0)),1))*100</f>
        <v>93.354857487042793</v>
      </c>
      <c r="AK84" s="11"/>
      <c r="AL84" s="11"/>
      <c r="AM84" s="11"/>
      <c r="AN84" s="250"/>
      <c r="AO84" s="251"/>
      <c r="AP84" s="96"/>
      <c r="AQ84" s="11"/>
      <c r="AR84" s="96"/>
      <c r="AS84" s="11"/>
      <c r="AT84" s="11"/>
      <c r="AU84" s="11">
        <f>(INDEX('Race 39'!$E$8:$E$200,(MATCH($B84,'Race 39'!$B$8:$B$200,0)),1))*100</f>
        <v>89.598615518988808</v>
      </c>
      <c r="AV84" s="96"/>
      <c r="AW84" s="11"/>
      <c r="AX84" s="11"/>
      <c r="AY84" s="11"/>
      <c r="AZ84" s="11"/>
      <c r="BA84" s="11"/>
      <c r="BB84" s="11"/>
      <c r="BC84" s="96"/>
      <c r="BD84" s="11"/>
      <c r="BE84" s="96"/>
      <c r="BF84" s="11"/>
      <c r="BG84" s="11"/>
      <c r="BH84" s="11"/>
      <c r="BI84" s="11"/>
      <c r="BJ84" s="11"/>
      <c r="BK84" s="11"/>
      <c r="BL84" s="11"/>
      <c r="BM84" s="11"/>
      <c r="BN84" s="96"/>
      <c r="BO84" s="11"/>
      <c r="BP84" s="11"/>
      <c r="BQ84" s="11"/>
      <c r="BR84" s="11"/>
      <c r="BS84" s="11"/>
      <c r="BT84" s="11"/>
      <c r="BU84" s="11"/>
      <c r="BV84" s="11"/>
      <c r="BW84" s="96"/>
      <c r="BX84" s="96"/>
      <c r="BY84" s="11"/>
      <c r="BZ84" s="11"/>
      <c r="CA84" s="11"/>
      <c r="CB84" s="11"/>
      <c r="CC84" s="11"/>
      <c r="CD84" s="11"/>
      <c r="CE84" s="11"/>
      <c r="CF84" s="11"/>
      <c r="CG84" s="96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20"/>
      <c r="CV84" s="11"/>
      <c r="CW84" s="20"/>
      <c r="CX84" s="96"/>
      <c r="CY84" s="96"/>
      <c r="CZ84" s="11"/>
      <c r="DA84" s="26">
        <f t="shared" si="23"/>
        <v>89.738054950193188</v>
      </c>
      <c r="DB84" s="42" t="str">
        <f t="shared" si="24"/>
        <v>Levins, Chloe</v>
      </c>
      <c r="DC84" s="43">
        <f t="shared" si="25"/>
        <v>1</v>
      </c>
      <c r="DD84" s="62">
        <v>78.993710558583317</v>
      </c>
      <c r="DE84" s="62">
        <f t="shared" si="26"/>
        <v>90.894709042439743</v>
      </c>
      <c r="DF84" s="4">
        <f t="shared" si="21"/>
        <v>5</v>
      </c>
      <c r="DG84" s="4">
        <f t="shared" si="27"/>
        <v>9</v>
      </c>
      <c r="DH84" s="4">
        <f t="shared" si="28"/>
        <v>10</v>
      </c>
      <c r="DI84" s="4" t="str">
        <f t="shared" si="29"/>
        <v>VT</v>
      </c>
      <c r="DJ84" s="62">
        <f>IF(COUNT(I84:U84)&lt;5,DA84,SUMPRODUCT(LARGE(I84:U84,{1,2,3,4,5}))/5)</f>
        <v>89.738054950193188</v>
      </c>
      <c r="DK84" s="62">
        <f>IF(COUNT(I84:AN84)&lt;5,DA84,SUMPRODUCT(LARGE(I84:AN84,{1,2,3,4,5}))/5)</f>
        <v>92.503545392490921</v>
      </c>
      <c r="DL84" s="62">
        <f>IF(COUNT(J84:CZ84)&lt;5,AVERAGE(J84:CZ84),SUMPRODUCT(LARGE(J84:CZ84,{1,2,3,4,5}))/5)</f>
        <v>92.503545392490921</v>
      </c>
      <c r="DM84" s="62">
        <f t="shared" si="31"/>
        <v>90.894709042439743</v>
      </c>
      <c r="DN84" s="13" t="str">
        <f t="shared" si="30"/>
        <v>Levins, Chloe</v>
      </c>
      <c r="DO84" s="7"/>
      <c r="DP84" s="8"/>
      <c r="DQ84" s="9"/>
      <c r="DR84" s="9"/>
      <c r="DS84" s="121"/>
      <c r="DT84" s="128"/>
      <c r="DU84" s="128"/>
      <c r="DV84" s="128"/>
      <c r="DW84" s="13"/>
      <c r="DX84" s="13"/>
      <c r="DY84" s="92"/>
      <c r="DZ84" s="83"/>
      <c r="EA84" s="13"/>
      <c r="EB84" s="13"/>
      <c r="EC84" s="13"/>
      <c r="ED84" s="13"/>
      <c r="EE84" s="13"/>
      <c r="EF84" s="13"/>
      <c r="EG84" s="13"/>
      <c r="EI84" s="152"/>
    </row>
    <row r="85" spans="1:139" x14ac:dyDescent="0.2">
      <c r="A85" s="7">
        <v>82</v>
      </c>
      <c r="B85" s="119" t="s">
        <v>404</v>
      </c>
      <c r="C85" s="9" t="s">
        <v>5</v>
      </c>
      <c r="D85" s="9" t="s">
        <v>60</v>
      </c>
      <c r="E85" s="10">
        <v>0</v>
      </c>
      <c r="F85" s="82">
        <v>28.820061518102726</v>
      </c>
      <c r="G85" s="9">
        <f t="shared" si="22"/>
        <v>2</v>
      </c>
      <c r="H85" s="93">
        <v>0</v>
      </c>
      <c r="I85" s="47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96"/>
      <c r="U85" s="297"/>
      <c r="V85" s="298"/>
      <c r="W85" s="11"/>
      <c r="X85" s="96"/>
      <c r="Y85" s="96"/>
      <c r="Z85" s="96"/>
      <c r="AA85" s="96"/>
      <c r="AB85" s="96"/>
      <c r="AC85" s="96"/>
      <c r="AD85" s="96"/>
      <c r="AE85" s="96"/>
      <c r="AF85" s="110"/>
      <c r="AG85" s="11"/>
      <c r="AH85" s="11"/>
      <c r="AI85" s="11"/>
      <c r="AJ85" s="11"/>
      <c r="AK85" s="11"/>
      <c r="AL85" s="11"/>
      <c r="AM85" s="11">
        <f>(INDEX('Race 31'!$E$8:$E$200,(MATCH($B85,'Race 31'!$B$8:$B$200,0)),1))*100</f>
        <v>27.083606121722919</v>
      </c>
      <c r="AN85" s="250">
        <f>(INDEX('Race 32'!$E$8:$E$200,(MATCH($B85,'Race 32'!$B$8:$B$200,0)),1))*100</f>
        <v>30.556516914482536</v>
      </c>
      <c r="AO85" s="25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96"/>
      <c r="BA85" s="11"/>
      <c r="BB85" s="11"/>
      <c r="BC85" s="96"/>
      <c r="BD85" s="11"/>
      <c r="BE85" s="96"/>
      <c r="BF85" s="11"/>
      <c r="BG85" s="11"/>
      <c r="BH85" s="11"/>
      <c r="BI85" s="11"/>
      <c r="BJ85" s="11"/>
      <c r="BK85" s="11"/>
      <c r="BL85" s="11"/>
      <c r="BM85" s="11"/>
      <c r="BN85" s="96"/>
      <c r="BO85" s="11"/>
      <c r="BP85" s="11"/>
      <c r="BQ85" s="11"/>
      <c r="BR85" s="11"/>
      <c r="BS85" s="11"/>
      <c r="BT85" s="11"/>
      <c r="BU85" s="11"/>
      <c r="BV85" s="11"/>
      <c r="BW85" s="96"/>
      <c r="BX85" s="11"/>
      <c r="BY85" s="11"/>
      <c r="BZ85" s="11"/>
      <c r="CA85" s="11"/>
      <c r="CB85" s="11"/>
      <c r="CC85" s="11"/>
      <c r="CD85" s="11"/>
      <c r="CE85" s="11"/>
      <c r="CF85" s="11"/>
      <c r="CG85" s="96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20"/>
      <c r="CV85" s="11"/>
      <c r="CW85" s="20"/>
      <c r="CX85" s="96"/>
      <c r="CY85" s="96"/>
      <c r="CZ85" s="11"/>
      <c r="DA85" s="26">
        <f t="shared" si="23"/>
        <v>28.820061518102726</v>
      </c>
      <c r="DB85" s="53" t="str">
        <f t="shared" si="24"/>
        <v>Linder, Rebecca</v>
      </c>
      <c r="DC85" s="68">
        <f t="shared" si="25"/>
        <v>1</v>
      </c>
      <c r="DD85" s="62">
        <v>66.367715995604314</v>
      </c>
      <c r="DE85" s="209">
        <f t="shared" si="26"/>
        <v>28.318818431858826</v>
      </c>
      <c r="DF85" s="115">
        <f t="shared" si="21"/>
        <v>0</v>
      </c>
      <c r="DG85" s="4">
        <f t="shared" si="27"/>
        <v>2</v>
      </c>
      <c r="DH85" s="115">
        <f t="shared" si="28"/>
        <v>2</v>
      </c>
      <c r="DI85" s="115" t="str">
        <f t="shared" si="29"/>
        <v>SD</v>
      </c>
      <c r="DJ85" s="62">
        <f>IF(COUNT(I85:U85)&lt;5,DA85,SUMPRODUCT(LARGE(I85:U85,{1,2,3,4,5}))/5)</f>
        <v>28.820061518102726</v>
      </c>
      <c r="DK85" s="62">
        <f>IF(COUNT(I85:AN85)&lt;5,DA85,SUMPRODUCT(LARGE(I85:AN85,{1,2,3,4,5}))/5)</f>
        <v>28.820061518102726</v>
      </c>
      <c r="DL85" s="209">
        <f>IF(COUNT(J85:CZ85)&lt;5,AVERAGE(J85:CZ85),SUMPRODUCT(LARGE(J85:CZ85,{1,2,3,4,5}))/5)</f>
        <v>28.820061518102726</v>
      </c>
      <c r="DM85" s="62">
        <f t="shared" si="31"/>
        <v>28.318818431858826</v>
      </c>
      <c r="DN85" s="13" t="str">
        <f t="shared" si="30"/>
        <v>Linder, Rebecca</v>
      </c>
      <c r="DO85" s="7"/>
      <c r="DP85" s="8"/>
      <c r="DQ85" s="9"/>
      <c r="DR85" s="9"/>
      <c r="DS85" s="121"/>
      <c r="DT85" s="128"/>
      <c r="DU85" s="128"/>
      <c r="DV85" s="128"/>
      <c r="DW85" s="13"/>
      <c r="DX85" s="13"/>
      <c r="DY85" s="92"/>
      <c r="DZ85" s="83"/>
      <c r="EA85" s="13"/>
      <c r="EB85" s="13"/>
      <c r="EC85" s="13"/>
      <c r="ED85" s="13"/>
      <c r="EE85" s="13"/>
      <c r="EF85" s="13"/>
      <c r="EG85" s="13"/>
      <c r="EI85" s="152"/>
    </row>
    <row r="86" spans="1:139" x14ac:dyDescent="0.2">
      <c r="A86" s="7">
        <v>83</v>
      </c>
      <c r="B86" s="119" t="s">
        <v>361</v>
      </c>
      <c r="C86" s="9" t="s">
        <v>6</v>
      </c>
      <c r="D86" s="9" t="s">
        <v>41</v>
      </c>
      <c r="E86" s="10">
        <v>67.84001253860923</v>
      </c>
      <c r="F86" s="82">
        <v>67.84001253860923</v>
      </c>
      <c r="G86" s="9">
        <f t="shared" si="22"/>
        <v>2</v>
      </c>
      <c r="H86" s="93">
        <v>0</v>
      </c>
      <c r="I86" s="47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>
        <f>(INDEX('Race 12'!$E$8:$E$200,(MATCH($B86,'Race 12'!$B$8:$B$200,0)),1))*100</f>
        <v>66.636011543544967</v>
      </c>
      <c r="U86" s="297">
        <f>(INDEX('Race 13'!$E$8:$E$200,(MATCH($B86,'Race 13'!$B$8:$B$200,0)),1))*100</f>
        <v>69.044013533673493</v>
      </c>
      <c r="V86" s="298"/>
      <c r="W86" s="11"/>
      <c r="X86" s="96"/>
      <c r="Y86" s="96"/>
      <c r="Z86" s="96"/>
      <c r="AA86" s="96"/>
      <c r="AB86" s="96"/>
      <c r="AC86" s="96"/>
      <c r="AD86" s="96"/>
      <c r="AE86" s="96"/>
      <c r="AF86" s="110"/>
      <c r="AG86" s="11"/>
      <c r="AH86" s="11"/>
      <c r="AI86" s="11"/>
      <c r="AJ86" s="11"/>
      <c r="AK86" s="11"/>
      <c r="AL86" s="11"/>
      <c r="AM86" s="11"/>
      <c r="AN86" s="250"/>
      <c r="AO86" s="25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96"/>
      <c r="BA86" s="11"/>
      <c r="BB86" s="11"/>
      <c r="BC86" s="96"/>
      <c r="BD86" s="11"/>
      <c r="BE86" s="96"/>
      <c r="BF86" s="11"/>
      <c r="BG86" s="11"/>
      <c r="BH86" s="11"/>
      <c r="BI86" s="11"/>
      <c r="BJ86" s="11"/>
      <c r="BK86" s="11"/>
      <c r="BL86" s="11"/>
      <c r="BM86" s="11"/>
      <c r="BN86" s="96"/>
      <c r="BO86" s="11"/>
      <c r="BP86" s="11"/>
      <c r="BQ86" s="11"/>
      <c r="BR86" s="11"/>
      <c r="BS86" s="11"/>
      <c r="BT86" s="11"/>
      <c r="BU86" s="11"/>
      <c r="BV86" s="11"/>
      <c r="BW86" s="96"/>
      <c r="BX86" s="11"/>
      <c r="BY86" s="11"/>
      <c r="BZ86" s="11"/>
      <c r="CA86" s="11"/>
      <c r="CB86" s="11"/>
      <c r="CC86" s="11"/>
      <c r="CD86" s="11"/>
      <c r="CE86" s="11"/>
      <c r="CF86" s="11"/>
      <c r="CG86" s="96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20"/>
      <c r="CV86" s="11"/>
      <c r="CW86" s="20"/>
      <c r="CX86" s="96"/>
      <c r="CY86" s="96"/>
      <c r="CZ86" s="11"/>
      <c r="DA86" s="26">
        <f t="shared" si="23"/>
        <v>67.84001253860923</v>
      </c>
      <c r="DB86" s="53" t="str">
        <f t="shared" si="24"/>
        <v>Love, Sabine</v>
      </c>
      <c r="DC86" s="68">
        <f t="shared" si="25"/>
        <v>1</v>
      </c>
      <c r="DD86" s="62">
        <v>66.367715995604314</v>
      </c>
      <c r="DE86" s="209">
        <f t="shared" si="26"/>
        <v>66.660128268261005</v>
      </c>
      <c r="DF86" s="115">
        <f t="shared" si="21"/>
        <v>2</v>
      </c>
      <c r="DG86" s="4">
        <f t="shared" si="27"/>
        <v>2</v>
      </c>
      <c r="DH86" s="115">
        <f t="shared" si="28"/>
        <v>2</v>
      </c>
      <c r="DI86" s="115" t="str">
        <f t="shared" si="29"/>
        <v>MT</v>
      </c>
      <c r="DJ86" s="62">
        <f>IF(COUNT(I86:U86)&lt;5,DA86,SUMPRODUCT(LARGE(I86:U86,{1,2,3,4,5}))/5)</f>
        <v>67.84001253860923</v>
      </c>
      <c r="DK86" s="62">
        <f>IF(COUNT(I86:AN86)&lt;5,DA86,SUMPRODUCT(LARGE(I86:AN86,{1,2,3,4,5}))/5)</f>
        <v>67.84001253860923</v>
      </c>
      <c r="DL86" s="209">
        <f>IF(COUNT(J86:CZ86)&lt;5,AVERAGE(J86:CZ86),SUMPRODUCT(LARGE(J86:CZ86,{1,2,3,4,5}))/5)</f>
        <v>67.84001253860923</v>
      </c>
      <c r="DM86" s="62">
        <f t="shared" si="31"/>
        <v>66.660128268261005</v>
      </c>
      <c r="DN86" s="13" t="str">
        <f t="shared" si="30"/>
        <v>Love, Sabine</v>
      </c>
      <c r="DO86" s="7"/>
      <c r="DP86" s="8"/>
      <c r="DQ86" s="9"/>
      <c r="DR86" s="9"/>
      <c r="DS86" s="121"/>
      <c r="DT86" s="128"/>
      <c r="DU86" s="128"/>
      <c r="DV86" s="128"/>
      <c r="DW86" s="13"/>
      <c r="DX86" s="13"/>
      <c r="DY86" s="92"/>
      <c r="DZ86" s="83"/>
      <c r="EA86" s="13"/>
      <c r="EB86" s="13"/>
      <c r="EC86" s="13"/>
      <c r="ED86" s="13"/>
      <c r="EE86" s="13"/>
      <c r="EF86" s="13"/>
      <c r="EG86" s="13"/>
      <c r="EI86" s="152"/>
    </row>
    <row r="87" spans="1:139" x14ac:dyDescent="0.2">
      <c r="A87" s="7">
        <v>84</v>
      </c>
      <c r="B87" s="119" t="s">
        <v>287</v>
      </c>
      <c r="C87" s="9" t="s">
        <v>5</v>
      </c>
      <c r="D87" s="9" t="s">
        <v>33</v>
      </c>
      <c r="E87" s="10">
        <v>52.592151089318357</v>
      </c>
      <c r="F87" s="82">
        <v>53.099243409201037</v>
      </c>
      <c r="G87" s="9">
        <f t="shared" si="22"/>
        <v>2</v>
      </c>
      <c r="H87" s="93">
        <v>52.592151089318357</v>
      </c>
      <c r="I87" s="47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96"/>
      <c r="U87" s="297"/>
      <c r="V87" s="298"/>
      <c r="W87" s="11"/>
      <c r="X87" s="96"/>
      <c r="Y87" s="96"/>
      <c r="Z87" s="96"/>
      <c r="AA87" s="96"/>
      <c r="AB87" s="96"/>
      <c r="AC87" s="96"/>
      <c r="AD87" s="96"/>
      <c r="AE87" s="96"/>
      <c r="AF87" s="110"/>
      <c r="AG87" s="11"/>
      <c r="AH87" s="11"/>
      <c r="AI87" s="11"/>
      <c r="AJ87" s="11"/>
      <c r="AK87" s="11"/>
      <c r="AL87" s="11"/>
      <c r="AM87" s="11">
        <f>(INDEX('Race 31'!$E$8:$E$200,(MATCH($B87,'Race 31'!$B$8:$B$200,0)),1))*100</f>
        <v>52.734790408563605</v>
      </c>
      <c r="AN87" s="250">
        <f>(INDEX('Race 32'!$E$8:$E$200,(MATCH($B87,'Race 32'!$B$8:$B$200,0)),1))*100</f>
        <v>53.463696409838477</v>
      </c>
      <c r="AO87" s="251"/>
      <c r="AP87" s="11"/>
      <c r="AQ87" s="11"/>
      <c r="AR87" s="11"/>
      <c r="AS87" s="11"/>
      <c r="AT87" s="96"/>
      <c r="AU87" s="11"/>
      <c r="AV87" s="11"/>
      <c r="AW87" s="11"/>
      <c r="AX87" s="11"/>
      <c r="AY87" s="11"/>
      <c r="AZ87" s="96"/>
      <c r="BA87" s="11"/>
      <c r="BB87" s="11"/>
      <c r="BC87" s="96"/>
      <c r="BD87" s="11"/>
      <c r="BE87" s="96"/>
      <c r="BF87" s="11"/>
      <c r="BG87" s="11"/>
      <c r="BH87" s="11"/>
      <c r="BI87" s="11"/>
      <c r="BJ87" s="11"/>
      <c r="BK87" s="11"/>
      <c r="BL87" s="11"/>
      <c r="BM87" s="11"/>
      <c r="BN87" s="96"/>
      <c r="BO87" s="11"/>
      <c r="BP87" s="11"/>
      <c r="BQ87" s="11"/>
      <c r="BR87" s="11"/>
      <c r="BS87" s="11"/>
      <c r="BT87" s="11"/>
      <c r="BU87" s="11"/>
      <c r="BV87" s="11"/>
      <c r="BW87" s="96"/>
      <c r="BX87" s="11"/>
      <c r="BY87" s="11"/>
      <c r="BZ87" s="11"/>
      <c r="CA87" s="11"/>
      <c r="CB87" s="11"/>
      <c r="CC87" s="11"/>
      <c r="CD87" s="11"/>
      <c r="CE87" s="11"/>
      <c r="CF87" s="11"/>
      <c r="CG87" s="96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20"/>
      <c r="CV87" s="11"/>
      <c r="CW87" s="20"/>
      <c r="CX87" s="96"/>
      <c r="CY87" s="96"/>
      <c r="CZ87" s="11"/>
      <c r="DA87" s="26">
        <f t="shared" si="23"/>
        <v>53.099243409201037</v>
      </c>
      <c r="DB87" s="53" t="str">
        <f t="shared" si="24"/>
        <v>MacGillivary, Jennifer</v>
      </c>
      <c r="DC87" s="68">
        <f t="shared" si="25"/>
        <v>1</v>
      </c>
      <c r="DD87" s="62">
        <v>52.592151089318357</v>
      </c>
      <c r="DE87" s="209">
        <f t="shared" si="26"/>
        <v>52.175732936229771</v>
      </c>
      <c r="DF87" s="115">
        <f t="shared" si="21"/>
        <v>0</v>
      </c>
      <c r="DG87" s="4">
        <f t="shared" si="27"/>
        <v>2</v>
      </c>
      <c r="DH87" s="115">
        <f t="shared" si="28"/>
        <v>2</v>
      </c>
      <c r="DI87" s="115" t="str">
        <f t="shared" si="29"/>
        <v>ME</v>
      </c>
      <c r="DJ87" s="62">
        <f>IF(COUNT(I87:U87)&lt;5,DA87,SUMPRODUCT(LARGE(I87:U87,{1,2,3,4,5}))/5)</f>
        <v>53.099243409201037</v>
      </c>
      <c r="DK87" s="62">
        <f>IF(COUNT(I87:AN87)&lt;5,DA87,SUMPRODUCT(LARGE(I87:AN87,{1,2,3,4,5}))/5)</f>
        <v>53.099243409201037</v>
      </c>
      <c r="DL87" s="209">
        <f>IF(COUNT(J87:CZ87)&lt;5,AVERAGE(J87:CZ87),SUMPRODUCT(LARGE(J87:CZ87,{1,2,3,4,5}))/5)</f>
        <v>53.099243409201037</v>
      </c>
      <c r="DM87" s="62">
        <f t="shared" si="31"/>
        <v>52.175732936229771</v>
      </c>
      <c r="DN87" s="13" t="str">
        <f t="shared" si="30"/>
        <v>MacGillivary, Jennifer</v>
      </c>
      <c r="DO87" s="7"/>
      <c r="DP87" s="8"/>
      <c r="DQ87" s="9"/>
      <c r="DR87" s="9"/>
      <c r="DS87" s="121"/>
      <c r="DT87" s="128"/>
      <c r="DU87" s="128"/>
      <c r="DV87" s="128"/>
      <c r="DW87" s="13"/>
      <c r="DX87" s="13"/>
      <c r="DY87" s="92"/>
      <c r="DZ87" s="83"/>
      <c r="EA87" s="13"/>
      <c r="EB87" s="13"/>
      <c r="EC87" s="13"/>
      <c r="ED87" s="13"/>
      <c r="EE87" s="13"/>
      <c r="EF87" s="13"/>
      <c r="EG87" s="13"/>
      <c r="EI87" s="152"/>
    </row>
    <row r="88" spans="1:139" x14ac:dyDescent="0.2">
      <c r="A88" s="7">
        <v>85</v>
      </c>
      <c r="B88" s="119" t="s">
        <v>451</v>
      </c>
      <c r="C88" s="9" t="s">
        <v>6</v>
      </c>
      <c r="D88" s="9" t="s">
        <v>48</v>
      </c>
      <c r="E88" s="10">
        <v>70.481290318598795</v>
      </c>
      <c r="F88" s="82">
        <v>70.481290318598795</v>
      </c>
      <c r="G88" s="9">
        <f t="shared" si="22"/>
        <v>11</v>
      </c>
      <c r="H88" s="93">
        <v>72.602683207822508</v>
      </c>
      <c r="I88" s="47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>
        <f>(INDEX('Race 12'!$E$8:$E$200,(MATCH($B88,'Race 12'!$B$8:$B$200,0)),1))*100</f>
        <v>71.707498385910839</v>
      </c>
      <c r="U88" s="297">
        <f>(INDEX('Race 13'!$E$8:$E$200,(MATCH($B88,'Race 13'!$B$8:$B$200,0)),1))*100</f>
        <v>69.255082251286751</v>
      </c>
      <c r="V88" s="298"/>
      <c r="W88" s="11"/>
      <c r="X88" s="96"/>
      <c r="Y88" s="96"/>
      <c r="Z88" s="96"/>
      <c r="AA88" s="96"/>
      <c r="AB88" s="96"/>
      <c r="AC88" s="96"/>
      <c r="AD88" s="96"/>
      <c r="AE88" s="96"/>
      <c r="AF88" s="110"/>
      <c r="AG88" s="11"/>
      <c r="AH88" s="11"/>
      <c r="AI88" s="11"/>
      <c r="AJ88" s="11"/>
      <c r="AK88" s="11"/>
      <c r="AL88" s="11"/>
      <c r="AM88" s="11"/>
      <c r="AN88" s="250"/>
      <c r="AO88" s="251"/>
      <c r="AP88" s="11"/>
      <c r="AQ88" s="11"/>
      <c r="AR88" s="11"/>
      <c r="AS88" s="11"/>
      <c r="AT88" s="11"/>
      <c r="AU88" s="11"/>
      <c r="AV88" s="11"/>
      <c r="AW88" s="11"/>
      <c r="AX88" s="11"/>
      <c r="AY88" s="11">
        <f>(INDEX('Race 43'!$E$8:$E$200,(MATCH($B88,'Race 43'!$B$8:$B$200,0)),1))*100</f>
        <v>68.220315102538223</v>
      </c>
      <c r="AZ88" s="11">
        <f>(INDEX('Race 44'!$E$8:$E$200,(MATCH($B88,'Race 44'!$B$8:$B$200,0)),1))*100</f>
        <v>74.035215863231457</v>
      </c>
      <c r="BA88" s="11">
        <f>(INDEX('Race 45'!$E$8:$E$200,(MATCH($B88,'Race 45'!$B$8:$B$200,0)),1))*100</f>
        <v>75.147591502882022</v>
      </c>
      <c r="BB88" s="11">
        <f>(INDEX('Race 46'!$E$8:$E$200,(MATCH($B88,'Race 46'!$B$8:$B$200,0)),1))*100</f>
        <v>75.809335093562609</v>
      </c>
      <c r="BC88" s="11">
        <f>(INDEX('Race 47'!$E$8:$E$200,(MATCH($B88,'Race 47'!$B$8:$B$200,0)),1))*100</f>
        <v>76.110525977038435</v>
      </c>
      <c r="BD88" s="11">
        <f>(INDEX('Race 48'!$E$8:$E$200,(MATCH($B88,'Race 48'!$B$8:$B$200,0)),1))*100</f>
        <v>70.544423039742284</v>
      </c>
      <c r="BE88" s="96"/>
      <c r="BF88" s="11"/>
      <c r="BG88" s="11"/>
      <c r="BH88" s="11"/>
      <c r="BI88" s="11"/>
      <c r="BJ88" s="11"/>
      <c r="BK88" s="11"/>
      <c r="BL88" s="11"/>
      <c r="BM88" s="11"/>
      <c r="BN88" s="96"/>
      <c r="BO88" s="11"/>
      <c r="BP88" s="11">
        <f>(INDEX('Race 60'!$E$8:$E$200,(MATCH($B88,'Race 60'!$B$8:$B$200,0)),1))*100</f>
        <v>77.731314274431099</v>
      </c>
      <c r="BQ88" s="11"/>
      <c r="BR88" s="11">
        <f>(INDEX('Race 62'!$E$8:$E$200,(MATCH($B88,'Race 62'!$B$8:$B$200,0)),1))*100</f>
        <v>75.045949963719323</v>
      </c>
      <c r="BS88" s="11"/>
      <c r="BT88" s="11"/>
      <c r="BU88" s="11"/>
      <c r="BV88" s="11"/>
      <c r="BW88" s="96"/>
      <c r="BX88" s="11">
        <f>(INDEX('Race 68'!$E$8:$E$200,(MATCH($B88,'Race 68'!$B$8:$B$200,0)),1))*100</f>
        <v>69.100171604960408</v>
      </c>
      <c r="BY88" s="11"/>
      <c r="BZ88" s="11"/>
      <c r="CA88" s="11"/>
      <c r="CB88" s="11"/>
      <c r="CC88" s="11"/>
      <c r="CD88" s="11"/>
      <c r="CE88" s="11"/>
      <c r="CF88" s="11"/>
      <c r="CG88" s="96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20"/>
      <c r="CV88" s="11"/>
      <c r="CW88" s="20"/>
      <c r="CX88" s="96"/>
      <c r="CY88" s="96"/>
      <c r="CZ88" s="11"/>
      <c r="DA88" s="26">
        <f t="shared" si="23"/>
        <v>72.973402096300319</v>
      </c>
      <c r="DB88" s="53" t="str">
        <f t="shared" si="24"/>
        <v>Madigan, Margaret</v>
      </c>
      <c r="DC88" s="68">
        <f t="shared" si="25"/>
        <v>1</v>
      </c>
      <c r="DD88" s="62">
        <v>72.602683207822508</v>
      </c>
      <c r="DE88" s="209">
        <f t="shared" si="26"/>
        <v>74.647679436304117</v>
      </c>
      <c r="DF88" s="115">
        <f t="shared" si="21"/>
        <v>2</v>
      </c>
      <c r="DG88" s="4">
        <f t="shared" si="27"/>
        <v>2</v>
      </c>
      <c r="DH88" s="115">
        <f t="shared" si="28"/>
        <v>11</v>
      </c>
      <c r="DI88" s="115" t="str">
        <f t="shared" si="29"/>
        <v>CA</v>
      </c>
      <c r="DJ88" s="62">
        <f>IF(COUNT(I88:U88)&lt;5,DA88,SUMPRODUCT(LARGE(I88:U88,{1,2,3,4,5}))/5)</f>
        <v>72.973402096300319</v>
      </c>
      <c r="DK88" s="62">
        <f>IF(COUNT(I88:AN88)&lt;5,DA88,SUMPRODUCT(LARGE(I88:AN88,{1,2,3,4,5}))/5)</f>
        <v>72.973402096300319</v>
      </c>
      <c r="DL88" s="209">
        <f>IF(COUNT(J88:CZ88)&lt;5,AVERAGE(J88:CZ88),SUMPRODUCT(LARGE(J88:CZ88,{1,2,3,4,5}))/5)</f>
        <v>75.968943362326698</v>
      </c>
      <c r="DM88" s="62">
        <f t="shared" si="31"/>
        <v>74.647679436304117</v>
      </c>
      <c r="DN88" s="13" t="str">
        <f t="shared" si="30"/>
        <v>Madigan, Margaret</v>
      </c>
      <c r="DO88" s="7"/>
      <c r="DP88" s="8"/>
      <c r="DQ88" s="9"/>
      <c r="DR88" s="9"/>
      <c r="DS88" s="121"/>
      <c r="DT88" s="128"/>
      <c r="DU88" s="128"/>
      <c r="DV88" s="128"/>
      <c r="DW88" s="13"/>
      <c r="DX88" s="13"/>
      <c r="DY88" s="92"/>
      <c r="DZ88" s="83"/>
      <c r="EA88" s="13"/>
      <c r="EB88" s="13"/>
      <c r="EC88" s="13"/>
      <c r="ED88" s="13"/>
      <c r="EE88" s="13"/>
      <c r="EF88" s="13"/>
      <c r="EG88" s="13"/>
      <c r="EI88" s="152"/>
    </row>
    <row r="89" spans="1:139" x14ac:dyDescent="0.2">
      <c r="A89" s="7">
        <v>86</v>
      </c>
      <c r="B89" s="119" t="s">
        <v>360</v>
      </c>
      <c r="C89" s="9" t="s">
        <v>6</v>
      </c>
      <c r="D89" s="9" t="s">
        <v>30</v>
      </c>
      <c r="E89" s="10">
        <v>69.396266028239381</v>
      </c>
      <c r="F89" s="82">
        <v>69.396266028239381</v>
      </c>
      <c r="G89" s="9">
        <f t="shared" si="22"/>
        <v>2</v>
      </c>
      <c r="H89" s="93">
        <v>69.782843845657382</v>
      </c>
      <c r="I89" s="47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>
        <f>(INDEX('Race 12'!$E$8:$E$200,(MATCH($B89,'Race 12'!$B$8:$B$200,0)),1))*100</f>
        <v>68.217875319059388</v>
      </c>
      <c r="U89" s="297">
        <f>(INDEX('Race 13'!$E$8:$E$200,(MATCH($B89,'Race 13'!$B$8:$B$200,0)),1))*100</f>
        <v>70.574656737419375</v>
      </c>
      <c r="V89" s="298"/>
      <c r="W89" s="11"/>
      <c r="X89" s="96"/>
      <c r="Y89" s="96"/>
      <c r="Z89" s="96"/>
      <c r="AA89" s="96"/>
      <c r="AB89" s="96"/>
      <c r="AC89" s="96"/>
      <c r="AD89" s="96"/>
      <c r="AE89" s="96"/>
      <c r="AF89" s="110"/>
      <c r="AG89" s="11"/>
      <c r="AH89" s="11"/>
      <c r="AI89" s="11"/>
      <c r="AJ89" s="11"/>
      <c r="AK89" s="11"/>
      <c r="AL89" s="11"/>
      <c r="AM89" s="11"/>
      <c r="AN89" s="250"/>
      <c r="AO89" s="25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96"/>
      <c r="BO89" s="11"/>
      <c r="BP89" s="11"/>
      <c r="BQ89" s="11"/>
      <c r="BR89" s="11"/>
      <c r="BS89" s="11"/>
      <c r="BT89" s="11"/>
      <c r="BU89" s="11"/>
      <c r="BV89" s="11"/>
      <c r="BW89" s="96"/>
      <c r="BX89" s="96"/>
      <c r="BY89" s="11"/>
      <c r="BZ89" s="11"/>
      <c r="CA89" s="11"/>
      <c r="CB89" s="11"/>
      <c r="CC89" s="11"/>
      <c r="CD89" s="11"/>
      <c r="CE89" s="11"/>
      <c r="CF89" s="11"/>
      <c r="CG89" s="96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20"/>
      <c r="CV89" s="11"/>
      <c r="CW89" s="20"/>
      <c r="CX89" s="96"/>
      <c r="CY89" s="96"/>
      <c r="CZ89" s="11"/>
      <c r="DA89" s="26">
        <f t="shared" si="23"/>
        <v>69.396266028239381</v>
      </c>
      <c r="DB89" s="53" t="str">
        <f t="shared" si="24"/>
        <v>Massey-Bierman, Marika</v>
      </c>
      <c r="DC89" s="68">
        <f t="shared" si="25"/>
        <v>1</v>
      </c>
      <c r="DD89" s="62">
        <v>69.782843845657382</v>
      </c>
      <c r="DE89" s="209">
        <f t="shared" si="26"/>
        <v>68.189315150082919</v>
      </c>
      <c r="DF89" s="115">
        <f t="shared" si="21"/>
        <v>2</v>
      </c>
      <c r="DG89" s="4">
        <f t="shared" si="27"/>
        <v>2</v>
      </c>
      <c r="DH89" s="115">
        <f t="shared" si="28"/>
        <v>2</v>
      </c>
      <c r="DI89" s="115" t="str">
        <f t="shared" si="29"/>
        <v>AK</v>
      </c>
      <c r="DJ89" s="62">
        <f>IF(COUNT(I89:U89)&lt;5,DA89,SUMPRODUCT(LARGE(I89:U89,{1,2,3,4,5}))/5)</f>
        <v>69.396266028239381</v>
      </c>
      <c r="DK89" s="62">
        <f>IF(COUNT(I89:AN89)&lt;5,DA89,SUMPRODUCT(LARGE(I89:AN89,{1,2,3,4,5}))/5)</f>
        <v>69.396266028239381</v>
      </c>
      <c r="DL89" s="62">
        <f>IF(COUNT(J89:CZ89)&lt;5,AVERAGE(J89:CZ89),SUMPRODUCT(LARGE(J89:CZ89,{1,2,3,4,5}))/5)</f>
        <v>69.396266028239381</v>
      </c>
      <c r="DM89" s="62">
        <f t="shared" si="31"/>
        <v>68.189315150082919</v>
      </c>
      <c r="DN89" s="13" t="str">
        <f t="shared" si="30"/>
        <v>Massey-Bierman, Marika</v>
      </c>
      <c r="DO89" s="7"/>
      <c r="DP89" s="8"/>
      <c r="DQ89" s="9"/>
      <c r="DR89" s="9"/>
      <c r="DS89" s="121"/>
      <c r="DT89" s="128"/>
      <c r="DU89" s="128"/>
      <c r="DV89" s="128"/>
      <c r="DW89" s="13"/>
      <c r="DX89" s="13"/>
      <c r="DY89" s="92"/>
      <c r="DZ89" s="83"/>
      <c r="EA89" s="13"/>
      <c r="EB89" s="13"/>
      <c r="EC89" s="13"/>
      <c r="ED89" s="13"/>
      <c r="EE89" s="13"/>
      <c r="EF89" s="13"/>
      <c r="EG89" s="13"/>
      <c r="EI89" s="152"/>
    </row>
    <row r="90" spans="1:139" x14ac:dyDescent="0.2">
      <c r="A90" s="7">
        <v>87</v>
      </c>
      <c r="B90" s="119" t="s">
        <v>402</v>
      </c>
      <c r="C90" s="9" t="s">
        <v>5</v>
      </c>
      <c r="D90" s="9" t="s">
        <v>422</v>
      </c>
      <c r="E90" s="10">
        <v>0</v>
      </c>
      <c r="F90" s="82">
        <v>45.771020393189943</v>
      </c>
      <c r="G90" s="9">
        <f t="shared" si="22"/>
        <v>2</v>
      </c>
      <c r="H90" s="93">
        <v>0</v>
      </c>
      <c r="I90" s="47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96"/>
      <c r="U90" s="297"/>
      <c r="V90" s="298"/>
      <c r="W90" s="11"/>
      <c r="X90" s="96"/>
      <c r="Y90" s="96"/>
      <c r="Z90" s="96"/>
      <c r="AA90" s="96"/>
      <c r="AB90" s="96"/>
      <c r="AC90" s="96"/>
      <c r="AD90" s="96"/>
      <c r="AE90" s="96"/>
      <c r="AF90" s="110"/>
      <c r="AG90" s="11"/>
      <c r="AH90" s="11"/>
      <c r="AI90" s="11"/>
      <c r="AJ90" s="11"/>
      <c r="AK90" s="11"/>
      <c r="AL90" s="11"/>
      <c r="AM90" s="11">
        <f>(INDEX('Race 31'!$E$8:$E$200,(MATCH($B90,'Race 31'!$B$8:$B$200,0)),1))*100</f>
        <v>45.235714227704193</v>
      </c>
      <c r="AN90" s="250">
        <f>(INDEX('Race 32'!$E$8:$E$200,(MATCH($B90,'Race 32'!$B$8:$B$200,0)),1))*100</f>
        <v>46.306326558675686</v>
      </c>
      <c r="AO90" s="25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96"/>
      <c r="BA90" s="11"/>
      <c r="BB90" s="11"/>
      <c r="BC90" s="96"/>
      <c r="BD90" s="11"/>
      <c r="BE90" s="96"/>
      <c r="BF90" s="11"/>
      <c r="BG90" s="11"/>
      <c r="BH90" s="11"/>
      <c r="BI90" s="11"/>
      <c r="BJ90" s="11"/>
      <c r="BK90" s="11"/>
      <c r="BL90" s="11"/>
      <c r="BM90" s="11"/>
      <c r="BN90" s="96"/>
      <c r="BO90" s="11"/>
      <c r="BP90" s="11"/>
      <c r="BQ90" s="11"/>
      <c r="BR90" s="11"/>
      <c r="BS90" s="11"/>
      <c r="BT90" s="11"/>
      <c r="BU90" s="11"/>
      <c r="BV90" s="11"/>
      <c r="BW90" s="96"/>
      <c r="BX90" s="11"/>
      <c r="BY90" s="11"/>
      <c r="BZ90" s="11"/>
      <c r="CA90" s="11"/>
      <c r="CB90" s="11"/>
      <c r="CC90" s="11"/>
      <c r="CD90" s="11"/>
      <c r="CE90" s="11"/>
      <c r="CF90" s="11"/>
      <c r="CG90" s="96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20"/>
      <c r="CV90" s="11"/>
      <c r="CW90" s="20"/>
      <c r="CX90" s="96"/>
      <c r="CY90" s="96"/>
      <c r="CZ90" s="11"/>
      <c r="DA90" s="26">
        <f t="shared" si="23"/>
        <v>45.771020393189943</v>
      </c>
      <c r="DB90" s="53" t="str">
        <f t="shared" si="24"/>
        <v>McLean-Ellis, Jennifer</v>
      </c>
      <c r="DC90" s="68">
        <f t="shared" si="25"/>
        <v>1</v>
      </c>
      <c r="DD90" s="62">
        <v>66.367715995604314</v>
      </c>
      <c r="DE90" s="209">
        <f t="shared" si="26"/>
        <v>44.974963538557482</v>
      </c>
      <c r="DF90" s="115">
        <f t="shared" si="21"/>
        <v>0</v>
      </c>
      <c r="DG90" s="4">
        <f t="shared" si="27"/>
        <v>2</v>
      </c>
      <c r="DH90" s="115">
        <f t="shared" si="28"/>
        <v>2</v>
      </c>
      <c r="DI90" s="115" t="str">
        <f t="shared" si="29"/>
        <v>MI</v>
      </c>
      <c r="DJ90" s="62">
        <f>IF(COUNT(I90:U90)&lt;5,DA90,SUMPRODUCT(LARGE(I90:U90,{1,2,3,4,5}))/5)</f>
        <v>45.771020393189943</v>
      </c>
      <c r="DK90" s="62">
        <f>IF(COUNT(I90:AN90)&lt;5,DA90,SUMPRODUCT(LARGE(I90:AN90,{1,2,3,4,5}))/5)</f>
        <v>45.771020393189943</v>
      </c>
      <c r="DL90" s="209">
        <f>IF(COUNT(J90:CZ90)&lt;5,AVERAGE(J90:CZ90),SUMPRODUCT(LARGE(J90:CZ90,{1,2,3,4,5}))/5)</f>
        <v>45.771020393189943</v>
      </c>
      <c r="DM90" s="62">
        <f t="shared" si="31"/>
        <v>44.974963538557482</v>
      </c>
      <c r="DN90" s="13" t="str">
        <f t="shared" si="30"/>
        <v>McLean-Ellis, Jennifer</v>
      </c>
      <c r="DO90" s="7"/>
      <c r="DP90" s="8"/>
      <c r="DQ90" s="9"/>
      <c r="DR90" s="9"/>
      <c r="DS90" s="121"/>
      <c r="DT90" s="128"/>
      <c r="DU90" s="128"/>
      <c r="DV90" s="128"/>
      <c r="DW90" s="13"/>
      <c r="DX90" s="13"/>
      <c r="DY90" s="92"/>
      <c r="DZ90" s="83"/>
      <c r="EA90" s="13"/>
      <c r="EB90" s="13"/>
      <c r="EC90" s="13"/>
      <c r="ED90" s="13"/>
      <c r="EE90" s="13"/>
      <c r="EF90" s="13"/>
      <c r="EG90" s="13"/>
      <c r="EI90" s="152"/>
    </row>
    <row r="91" spans="1:139" x14ac:dyDescent="0.2">
      <c r="A91" s="7">
        <v>88</v>
      </c>
      <c r="B91" s="119" t="s">
        <v>286</v>
      </c>
      <c r="C91" s="9" t="s">
        <v>5</v>
      </c>
      <c r="D91" s="9" t="s">
        <v>32</v>
      </c>
      <c r="E91" s="10">
        <v>75.155871830278642</v>
      </c>
      <c r="F91" s="82">
        <v>75.155871830278642</v>
      </c>
      <c r="G91" s="9">
        <f t="shared" si="22"/>
        <v>0</v>
      </c>
      <c r="H91" s="93">
        <v>75.155871830278642</v>
      </c>
      <c r="I91" s="47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96"/>
      <c r="U91" s="297"/>
      <c r="V91" s="298"/>
      <c r="W91" s="11"/>
      <c r="X91" s="96"/>
      <c r="Y91" s="96"/>
      <c r="Z91" s="96"/>
      <c r="AA91" s="96"/>
      <c r="AB91" s="96"/>
      <c r="AC91" s="96"/>
      <c r="AD91" s="96"/>
      <c r="AE91" s="96"/>
      <c r="AF91" s="110"/>
      <c r="AG91" s="11"/>
      <c r="AH91" s="11"/>
      <c r="AI91" s="11"/>
      <c r="AJ91" s="11"/>
      <c r="AK91" s="11"/>
      <c r="AL91" s="11"/>
      <c r="AM91" s="11"/>
      <c r="AN91" s="250"/>
      <c r="AO91" s="251"/>
      <c r="AP91" s="11"/>
      <c r="AQ91" s="11"/>
      <c r="AR91" s="79"/>
      <c r="AS91" s="11"/>
      <c r="AT91" s="110"/>
      <c r="AU91" s="11"/>
      <c r="AV91" s="96"/>
      <c r="AW91" s="11"/>
      <c r="AX91" s="11"/>
      <c r="AY91" s="11"/>
      <c r="AZ91" s="96"/>
      <c r="BA91" s="11"/>
      <c r="BB91" s="11"/>
      <c r="BC91" s="96"/>
      <c r="BD91" s="11"/>
      <c r="BE91" s="96"/>
      <c r="BF91" s="11"/>
      <c r="BG91" s="11"/>
      <c r="BH91" s="11"/>
      <c r="BI91" s="11"/>
      <c r="BJ91" s="11"/>
      <c r="BK91" s="11"/>
      <c r="BL91" s="11"/>
      <c r="BM91" s="11"/>
      <c r="BN91" s="96"/>
      <c r="BO91" s="11"/>
      <c r="BP91" s="11"/>
      <c r="BQ91" s="11"/>
      <c r="BR91" s="11"/>
      <c r="BS91" s="11"/>
      <c r="BT91" s="11"/>
      <c r="BU91" s="11"/>
      <c r="BV91" s="11"/>
      <c r="BW91" s="96"/>
      <c r="BX91" s="11"/>
      <c r="BY91" s="11"/>
      <c r="BZ91" s="11"/>
      <c r="CA91" s="11"/>
      <c r="CB91" s="11"/>
      <c r="CC91" s="11"/>
      <c r="CD91" s="11"/>
      <c r="CE91" s="11"/>
      <c r="CF91" s="11"/>
      <c r="CG91" s="96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20"/>
      <c r="CV91" s="11"/>
      <c r="CW91" s="20"/>
      <c r="CX91" s="96"/>
      <c r="CY91" s="96"/>
      <c r="CZ91" s="11"/>
      <c r="DA91" s="26">
        <f t="shared" si="23"/>
        <v>75.155871830278642</v>
      </c>
      <c r="DB91" s="53" t="str">
        <f t="shared" si="24"/>
        <v>Miller, Kaitlynn</v>
      </c>
      <c r="DC91" s="68">
        <f t="shared" si="25"/>
        <v>0</v>
      </c>
      <c r="DD91" s="209">
        <v>75.155871830278642</v>
      </c>
      <c r="DE91" s="209">
        <f t="shared" si="26"/>
        <v>0</v>
      </c>
      <c r="DF91" s="115">
        <f>COUNT(I91:AC91)</f>
        <v>0</v>
      </c>
      <c r="DG91" s="4">
        <f t="shared" si="27"/>
        <v>0</v>
      </c>
      <c r="DH91" s="115">
        <f t="shared" si="28"/>
        <v>0</v>
      </c>
      <c r="DI91" s="115" t="str">
        <f t="shared" si="29"/>
        <v>VT</v>
      </c>
      <c r="DJ91" s="62">
        <f>IF(COUNT(I91:U91)&lt;5,DA91,SUMPRODUCT(LARGE(I91:U91,{1,2,3,4,5}))/5)</f>
        <v>75.155871830278642</v>
      </c>
      <c r="DK91" s="62">
        <f>IF(COUNT(I91:AN91)&lt;5,DA91,SUMPRODUCT(LARGE(I91:AN91,{1,2,3,4,5}))/5)</f>
        <v>75.155871830278642</v>
      </c>
      <c r="DL91" s="209">
        <f>IF(COUNT(J91:CZ91)=0,0,SUMPRODUCT(LARGE(J91:CZ91,{1,2,3,4,5}))/5)</f>
        <v>0</v>
      </c>
      <c r="DM91" s="62">
        <f t="shared" si="31"/>
        <v>0</v>
      </c>
      <c r="DN91" s="13" t="str">
        <f t="shared" si="30"/>
        <v>Miller, Kaitlynn</v>
      </c>
      <c r="DO91" s="7"/>
      <c r="DP91" s="8"/>
      <c r="DQ91" s="9"/>
      <c r="DR91" s="9"/>
      <c r="DS91" s="121"/>
      <c r="DT91" s="128"/>
      <c r="DU91" s="128"/>
      <c r="DV91" s="128"/>
      <c r="DW91" s="13"/>
      <c r="DX91" s="13"/>
      <c r="DY91" s="92"/>
      <c r="DZ91" s="83"/>
      <c r="EA91" s="13"/>
      <c r="EB91" s="13"/>
      <c r="EC91" s="13"/>
      <c r="ED91" s="13"/>
      <c r="EE91" s="13"/>
      <c r="EF91" s="13"/>
      <c r="EG91" s="13"/>
      <c r="EI91" s="152"/>
    </row>
    <row r="92" spans="1:139" x14ac:dyDescent="0.2">
      <c r="A92" s="7">
        <v>89</v>
      </c>
      <c r="B92" s="119" t="s">
        <v>275</v>
      </c>
      <c r="C92" s="9" t="s">
        <v>5</v>
      </c>
      <c r="D92" s="9" t="s">
        <v>43</v>
      </c>
      <c r="E92" s="10">
        <v>58.275611717619917</v>
      </c>
      <c r="F92" s="82">
        <v>57.238357777915553</v>
      </c>
      <c r="G92" s="9">
        <f t="shared" si="22"/>
        <v>4</v>
      </c>
      <c r="H92" s="93">
        <v>58.275611717619917</v>
      </c>
      <c r="I92" s="47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96"/>
      <c r="U92" s="297"/>
      <c r="V92" s="298"/>
      <c r="W92" s="11"/>
      <c r="X92" s="96"/>
      <c r="Y92" s="96"/>
      <c r="Z92" s="96"/>
      <c r="AA92" s="96"/>
      <c r="AB92" s="96"/>
      <c r="AC92" s="96"/>
      <c r="AD92" s="96"/>
      <c r="AE92" s="96"/>
      <c r="AF92" s="110"/>
      <c r="AG92" s="11"/>
      <c r="AH92" s="11"/>
      <c r="AI92" s="11"/>
      <c r="AJ92" s="11"/>
      <c r="AK92" s="11"/>
      <c r="AL92" s="11"/>
      <c r="AM92" s="11">
        <f>(INDEX('Race 31'!$E$8:$E$200,(MATCH($B92,'Race 31'!$B$8:$B$200,0)),1))*100</f>
        <v>57.375859970632547</v>
      </c>
      <c r="AN92" s="250">
        <f>(INDEX('Race 32'!$E$8:$E$200,(MATCH($B92,'Race 32'!$B$8:$B$200,0)),1))*100</f>
        <v>57.100855585198559</v>
      </c>
      <c r="AO92" s="25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96"/>
      <c r="BA92" s="11"/>
      <c r="BB92" s="11"/>
      <c r="BC92" s="96"/>
      <c r="BD92" s="11"/>
      <c r="BE92" s="96"/>
      <c r="BF92" s="11"/>
      <c r="BG92" s="11"/>
      <c r="BH92" s="11">
        <f>(INDEX('Race 52'!$E$8:$E$200,(MATCH($B92,'Race 52'!$B$8:$B$200,0)),1))*100</f>
        <v>55.828327041179357</v>
      </c>
      <c r="BI92" s="11">
        <f>(INDEX('Race 53'!$E$8:$E$200,(MATCH($B92,'Race 53'!$B$8:$B$200,0)),1))*100</f>
        <v>59.607104673908019</v>
      </c>
      <c r="BJ92" s="11"/>
      <c r="BK92" s="11"/>
      <c r="BL92" s="11"/>
      <c r="BM92" s="11"/>
      <c r="BN92" s="96"/>
      <c r="BO92" s="11"/>
      <c r="BP92" s="11"/>
      <c r="BQ92" s="11"/>
      <c r="BR92" s="11"/>
      <c r="BS92" s="11"/>
      <c r="BT92" s="11"/>
      <c r="BU92" s="11"/>
      <c r="BV92" s="11"/>
      <c r="BW92" s="96"/>
      <c r="BX92" s="11"/>
      <c r="BY92" s="11"/>
      <c r="BZ92" s="11"/>
      <c r="CA92" s="11"/>
      <c r="CB92" s="11"/>
      <c r="CC92" s="11"/>
      <c r="CD92" s="11"/>
      <c r="CE92" s="11"/>
      <c r="CF92" s="11"/>
      <c r="CG92" s="96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20"/>
      <c r="CV92" s="11"/>
      <c r="CW92" s="20"/>
      <c r="CX92" s="96"/>
      <c r="CY92" s="96"/>
      <c r="CZ92" s="11"/>
      <c r="DA92" s="26">
        <f t="shared" si="23"/>
        <v>57.478036817729624</v>
      </c>
      <c r="DB92" s="42" t="str">
        <f t="shared" si="24"/>
        <v>MILLER, Samantha</v>
      </c>
      <c r="DC92" s="43">
        <f t="shared" si="25"/>
        <v>1</v>
      </c>
      <c r="DD92" s="62">
        <v>58.275611717619917</v>
      </c>
      <c r="DE92" s="62">
        <f t="shared" si="26"/>
        <v>56.478369674491134</v>
      </c>
      <c r="DF92" s="4">
        <f t="shared" ref="DF92:DF110" si="32">COUNT(I92:X92)</f>
        <v>0</v>
      </c>
      <c r="DG92" s="4">
        <f t="shared" si="27"/>
        <v>2</v>
      </c>
      <c r="DH92" s="4">
        <f t="shared" si="28"/>
        <v>4</v>
      </c>
      <c r="DI92" s="4" t="str">
        <f t="shared" si="29"/>
        <v>UT</v>
      </c>
      <c r="DJ92" s="62">
        <f>IF(COUNT(I92:U92)&lt;5,DA92,SUMPRODUCT(LARGE(I92:U92,{1,2,3,4,5}))/5)</f>
        <v>57.478036817729624</v>
      </c>
      <c r="DK92" s="62">
        <f>IF(COUNT(I92:AN92)&lt;5,DA92,SUMPRODUCT(LARGE(I92:AN92,{1,2,3,4,5}))/5)</f>
        <v>57.478036817729624</v>
      </c>
      <c r="DL92" s="62">
        <f>IF(COUNT(J92:CZ92)&lt;5,AVERAGE(J92:CZ92),SUMPRODUCT(LARGE(J92:CZ92,{1,2,3,4,5}))/5)</f>
        <v>57.478036817729624</v>
      </c>
      <c r="DM92" s="62">
        <f t="shared" si="31"/>
        <v>56.478369674491134</v>
      </c>
      <c r="DN92" s="13" t="str">
        <f t="shared" si="30"/>
        <v>MILLER, Samantha</v>
      </c>
      <c r="DO92" s="7"/>
      <c r="DP92" s="8"/>
      <c r="DQ92" s="9"/>
      <c r="DR92" s="9"/>
      <c r="DS92" s="121"/>
      <c r="DT92" s="128"/>
      <c r="DU92" s="128"/>
      <c r="DV92" s="128"/>
      <c r="DW92" s="13"/>
      <c r="DX92" s="13"/>
      <c r="DY92" s="92"/>
      <c r="DZ92" s="83"/>
      <c r="EA92" s="13"/>
      <c r="EB92" s="13"/>
      <c r="EC92" s="13"/>
      <c r="ED92" s="13"/>
      <c r="EE92" s="13"/>
      <c r="EF92" s="13"/>
      <c r="EG92" s="13"/>
      <c r="EI92" s="152"/>
    </row>
    <row r="93" spans="1:139" x14ac:dyDescent="0.2">
      <c r="A93" s="7">
        <v>90</v>
      </c>
      <c r="B93" s="119" t="s">
        <v>305</v>
      </c>
      <c r="C93" s="9" t="s">
        <v>5</v>
      </c>
      <c r="D93" s="9" t="s">
        <v>34</v>
      </c>
      <c r="E93" s="10">
        <v>34.96200018984873</v>
      </c>
      <c r="F93" s="82">
        <v>34.96200018984873</v>
      </c>
      <c r="G93" s="9">
        <f t="shared" si="22"/>
        <v>1</v>
      </c>
      <c r="H93" s="93">
        <v>34.96200018984873</v>
      </c>
      <c r="I93" s="47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96"/>
      <c r="U93" s="297"/>
      <c r="V93" s="298"/>
      <c r="W93" s="11"/>
      <c r="X93" s="96"/>
      <c r="Y93" s="96"/>
      <c r="Z93" s="96"/>
      <c r="AA93" s="96"/>
      <c r="AB93" s="96"/>
      <c r="AC93" s="96"/>
      <c r="AD93" s="96"/>
      <c r="AE93" s="96"/>
      <c r="AF93" s="110"/>
      <c r="AG93" s="11"/>
      <c r="AH93" s="11"/>
      <c r="AI93" s="11"/>
      <c r="AJ93" s="11"/>
      <c r="AK93" s="11"/>
      <c r="AL93" s="11"/>
      <c r="AM93" s="11"/>
      <c r="AN93" s="250"/>
      <c r="AO93" s="25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96"/>
      <c r="BA93" s="11"/>
      <c r="BB93" s="11"/>
      <c r="BC93" s="96"/>
      <c r="BD93" s="11"/>
      <c r="BE93" s="96"/>
      <c r="BF93" s="11"/>
      <c r="BG93" s="11"/>
      <c r="BH93" s="11"/>
      <c r="BI93" s="11">
        <f>(INDEX('Race 53'!$E$8:$E$200,(MATCH($B93,'Race 53'!$B$8:$B$200,0)),1))*100</f>
        <v>36.652378120337609</v>
      </c>
      <c r="BJ93" s="11"/>
      <c r="BK93" s="11"/>
      <c r="BL93" s="11"/>
      <c r="BM93" s="11"/>
      <c r="BN93" s="96"/>
      <c r="BO93" s="11"/>
      <c r="BP93" s="11"/>
      <c r="BQ93" s="11"/>
      <c r="BR93" s="11"/>
      <c r="BS93" s="11"/>
      <c r="BT93" s="11"/>
      <c r="BU93" s="11"/>
      <c r="BV93" s="11"/>
      <c r="BW93" s="96"/>
      <c r="BX93" s="11"/>
      <c r="BY93" s="11"/>
      <c r="BZ93" s="11"/>
      <c r="CA93" s="11"/>
      <c r="CB93" s="11"/>
      <c r="CC93" s="11"/>
      <c r="CD93" s="11"/>
      <c r="CE93" s="11"/>
      <c r="CF93" s="11"/>
      <c r="CG93" s="96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20"/>
      <c r="CV93" s="11"/>
      <c r="CW93" s="20"/>
      <c r="CX93" s="96"/>
      <c r="CY93" s="96"/>
      <c r="CZ93" s="11"/>
      <c r="DA93" s="26">
        <f t="shared" si="23"/>
        <v>36.652378120337609</v>
      </c>
      <c r="DB93" s="53" t="str">
        <f t="shared" si="24"/>
        <v>Moryl, Kathryn</v>
      </c>
      <c r="DC93" s="68">
        <f t="shared" si="25"/>
        <v>1</v>
      </c>
      <c r="DD93" s="62">
        <v>34.96200018984873</v>
      </c>
      <c r="DE93" s="209">
        <f t="shared" si="26"/>
        <v>36.014914140058572</v>
      </c>
      <c r="DF93" s="115">
        <f t="shared" si="32"/>
        <v>0</v>
      </c>
      <c r="DG93" s="4">
        <f t="shared" si="27"/>
        <v>0</v>
      </c>
      <c r="DH93" s="115">
        <f t="shared" si="28"/>
        <v>1</v>
      </c>
      <c r="DI93" s="115" t="str">
        <f t="shared" si="29"/>
        <v>NY</v>
      </c>
      <c r="DJ93" s="62">
        <f>IF(COUNT(I93:U93)&lt;5,DA93,SUMPRODUCT(LARGE(I93:U93,{1,2,3,4,5}))/5)</f>
        <v>36.652378120337609</v>
      </c>
      <c r="DK93" s="62">
        <f>IF(COUNT(I93:AN93)&lt;5,DA93,SUMPRODUCT(LARGE(I93:AN93,{1,2,3,4,5}))/5)</f>
        <v>36.652378120337609</v>
      </c>
      <c r="DL93" s="209">
        <f>IF(COUNT(J93:CZ93)&lt;5,AVERAGE(J93:CZ93),SUMPRODUCT(LARGE(J93:CZ93,{1,2,3,4,5}))/5)</f>
        <v>36.652378120337609</v>
      </c>
      <c r="DM93" s="62">
        <f t="shared" si="31"/>
        <v>36.014914140058572</v>
      </c>
      <c r="DN93" s="13" t="str">
        <f t="shared" si="30"/>
        <v>Moryl, Kathryn</v>
      </c>
      <c r="DO93" s="7"/>
      <c r="DP93" s="8"/>
      <c r="DQ93" s="9"/>
      <c r="DR93" s="9"/>
      <c r="DS93" s="121"/>
      <c r="DT93" s="128"/>
      <c r="DU93" s="128"/>
      <c r="DV93" s="128"/>
      <c r="DW93" s="13"/>
      <c r="DX93" s="13"/>
      <c r="DY93" s="92"/>
      <c r="DZ93" s="83"/>
      <c r="EA93" s="13"/>
      <c r="EB93" s="13"/>
      <c r="EC93" s="13"/>
      <c r="ED93" s="13"/>
      <c r="EE93" s="13"/>
      <c r="EF93" s="13"/>
      <c r="EG93" s="13"/>
      <c r="EI93" s="152"/>
    </row>
    <row r="94" spans="1:139" x14ac:dyDescent="0.2">
      <c r="A94" s="7">
        <v>91</v>
      </c>
      <c r="B94" s="8" t="s">
        <v>484</v>
      </c>
      <c r="C94" s="9" t="s">
        <v>5</v>
      </c>
      <c r="D94" s="9" t="s">
        <v>48</v>
      </c>
      <c r="E94" s="10">
        <v>0</v>
      </c>
      <c r="F94" s="82">
        <v>0</v>
      </c>
      <c r="G94" s="9">
        <f t="shared" si="22"/>
        <v>2</v>
      </c>
      <c r="H94" s="93">
        <v>0</v>
      </c>
      <c r="I94" s="47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96"/>
      <c r="U94" s="297"/>
      <c r="V94" s="298"/>
      <c r="W94" s="11"/>
      <c r="X94" s="96"/>
      <c r="Y94" s="96"/>
      <c r="Z94" s="96"/>
      <c r="AA94" s="96"/>
      <c r="AB94" s="96"/>
      <c r="AC94" s="96"/>
      <c r="AD94" s="96"/>
      <c r="AE94" s="96"/>
      <c r="AF94" s="110"/>
      <c r="AG94" s="11"/>
      <c r="AH94" s="11"/>
      <c r="AI94" s="11"/>
      <c r="AJ94" s="96"/>
      <c r="AK94" s="11"/>
      <c r="AL94" s="96"/>
      <c r="AM94" s="11"/>
      <c r="AN94" s="250"/>
      <c r="AO94" s="25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96"/>
      <c r="BA94" s="11"/>
      <c r="BB94" s="11"/>
      <c r="BC94" s="96"/>
      <c r="BD94" s="11"/>
      <c r="BE94" s="96"/>
      <c r="BF94" s="11"/>
      <c r="BG94" s="11"/>
      <c r="BH94" s="11">
        <f>(INDEX('Race 52'!$E$8:$E$200,(MATCH($B94,'Race 52'!$B$8:$B$200,0)),1))*100</f>
        <v>14.039219407594059</v>
      </c>
      <c r="BI94" s="11">
        <f>(INDEX('Race 53'!$E$8:$E$200,(MATCH($B94,'Race 53'!$B$8:$B$200,0)),1))*100</f>
        <v>23.108122090282439</v>
      </c>
      <c r="BJ94" s="11"/>
      <c r="BK94" s="11"/>
      <c r="BL94" s="11"/>
      <c r="BM94" s="11"/>
      <c r="BN94" s="96"/>
      <c r="BO94" s="11"/>
      <c r="BP94" s="11"/>
      <c r="BQ94" s="11"/>
      <c r="BR94" s="96"/>
      <c r="BS94" s="11"/>
      <c r="BT94" s="11"/>
      <c r="BU94" s="11"/>
      <c r="BV94" s="11"/>
      <c r="BW94" s="96"/>
      <c r="BX94" s="11"/>
      <c r="BY94" s="11"/>
      <c r="BZ94" s="11"/>
      <c r="CA94" s="11"/>
      <c r="CB94" s="11"/>
      <c r="CC94" s="11"/>
      <c r="CD94" s="11"/>
      <c r="CE94" s="11"/>
      <c r="CF94" s="11"/>
      <c r="CG94" s="96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20"/>
      <c r="CV94" s="11"/>
      <c r="CW94" s="20"/>
      <c r="CX94" s="96"/>
      <c r="CY94" s="96"/>
      <c r="CZ94" s="11"/>
      <c r="DA94" s="26">
        <f t="shared" si="23"/>
        <v>18.573670748938248</v>
      </c>
      <c r="DB94" s="53" t="str">
        <f t="shared" si="24"/>
        <v>Musgrove, Lynnae</v>
      </c>
      <c r="DC94" s="68">
        <f t="shared" si="25"/>
        <v>1</v>
      </c>
      <c r="DD94" s="62">
        <v>0</v>
      </c>
      <c r="DE94" s="209">
        <f t="shared" si="26"/>
        <v>18.250634517970177</v>
      </c>
      <c r="DF94" s="115">
        <f t="shared" si="32"/>
        <v>0</v>
      </c>
      <c r="DG94" s="4">
        <f t="shared" si="27"/>
        <v>0</v>
      </c>
      <c r="DH94" s="115">
        <f t="shared" si="28"/>
        <v>2</v>
      </c>
      <c r="DI94" s="115" t="str">
        <f t="shared" si="29"/>
        <v>CA</v>
      </c>
      <c r="DJ94" s="62">
        <f>IF(COUNT(I94:U94)&lt;5,DA94,SUMPRODUCT(LARGE(I94:U94,{1,2,3,4,5}))/5)</f>
        <v>18.573670748938248</v>
      </c>
      <c r="DK94" s="62">
        <f>IF(COUNT(I94:AN94)&lt;5,DA94,SUMPRODUCT(LARGE(I94:AN94,{1,2,3,4,5}))/5)</f>
        <v>18.573670748938248</v>
      </c>
      <c r="DL94" s="209">
        <f>IF(COUNT(J94:CZ94)&lt;5,AVERAGE(J94:CZ94),SUMPRODUCT(LARGE(J94:CZ94,{1,2,3,4,5}))/5)</f>
        <v>18.573670748938248</v>
      </c>
      <c r="DM94" s="62">
        <f t="shared" si="31"/>
        <v>18.250634517970177</v>
      </c>
      <c r="DN94" s="13" t="str">
        <f t="shared" si="30"/>
        <v>Musgrove, Lynnae</v>
      </c>
      <c r="DO94" s="7"/>
      <c r="DP94" s="8"/>
      <c r="DQ94" s="9"/>
      <c r="DR94" s="9"/>
      <c r="DS94" s="121"/>
      <c r="DT94" s="128"/>
      <c r="DU94" s="128"/>
      <c r="DV94" s="128"/>
      <c r="DW94" s="13"/>
      <c r="DX94" s="13"/>
      <c r="DY94" s="92"/>
      <c r="DZ94" s="83"/>
      <c r="EA94" s="13"/>
      <c r="EB94" s="13"/>
      <c r="EC94" s="13"/>
      <c r="ED94" s="13"/>
      <c r="EE94" s="13"/>
      <c r="EF94" s="13"/>
      <c r="EG94" s="13"/>
      <c r="EI94" s="152"/>
    </row>
    <row r="95" spans="1:139" x14ac:dyDescent="0.2">
      <c r="A95" s="7">
        <v>92</v>
      </c>
      <c r="B95" s="119" t="s">
        <v>466</v>
      </c>
      <c r="C95" s="9" t="s">
        <v>5</v>
      </c>
      <c r="D95" s="9" t="s">
        <v>42</v>
      </c>
      <c r="E95" s="10">
        <v>0</v>
      </c>
      <c r="F95" s="82">
        <v>0</v>
      </c>
      <c r="G95" s="9">
        <f t="shared" si="22"/>
        <v>2</v>
      </c>
      <c r="H95" s="93">
        <v>0</v>
      </c>
      <c r="I95" s="47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96"/>
      <c r="U95" s="297"/>
      <c r="V95" s="298"/>
      <c r="W95" s="11"/>
      <c r="X95" s="96"/>
      <c r="Y95" s="96"/>
      <c r="Z95" s="96"/>
      <c r="AA95" s="96"/>
      <c r="AB95" s="96"/>
      <c r="AC95" s="96"/>
      <c r="AD95" s="96"/>
      <c r="AE95" s="96"/>
      <c r="AF95" s="110"/>
      <c r="AG95" s="11"/>
      <c r="AH95" s="11"/>
      <c r="AI95" s="11"/>
      <c r="AJ95" s="96"/>
      <c r="AK95" s="11"/>
      <c r="AL95" s="96"/>
      <c r="AM95" s="11"/>
      <c r="AN95" s="250"/>
      <c r="AO95" s="25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96"/>
      <c r="BA95" s="11"/>
      <c r="BB95" s="11"/>
      <c r="BC95" s="11"/>
      <c r="BD95" s="11"/>
      <c r="BE95" s="11"/>
      <c r="BF95" s="11"/>
      <c r="BG95" s="11"/>
      <c r="BH95" s="11">
        <f>(INDEX('Race 52'!$E$8:$E$200,(MATCH($B95,'Race 52'!$B$8:$B$200,0)),1))*100</f>
        <v>47.095878012719709</v>
      </c>
      <c r="BI95" s="11">
        <f>(INDEX('Race 53'!$E$8:$E$200,(MATCH($B95,'Race 53'!$B$8:$B$200,0)),1))*100</f>
        <v>46.598388018690315</v>
      </c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96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20"/>
      <c r="CV95" s="11"/>
      <c r="CW95" s="20"/>
      <c r="CX95" s="96"/>
      <c r="CY95" s="96"/>
      <c r="CZ95" s="11"/>
      <c r="DA95" s="26">
        <f t="shared" si="23"/>
        <v>46.847133015705012</v>
      </c>
      <c r="DB95" s="53" t="str">
        <f t="shared" si="24"/>
        <v>MYER, LAUREN</v>
      </c>
      <c r="DC95" s="68">
        <f t="shared" si="25"/>
        <v>1</v>
      </c>
      <c r="DD95" s="62">
        <v>0</v>
      </c>
      <c r="DE95" s="209">
        <f t="shared" si="26"/>
        <v>46.032360239466456</v>
      </c>
      <c r="DF95" s="115">
        <f t="shared" si="32"/>
        <v>0</v>
      </c>
      <c r="DG95" s="4">
        <f t="shared" si="27"/>
        <v>0</v>
      </c>
      <c r="DH95" s="115">
        <f t="shared" si="28"/>
        <v>2</v>
      </c>
      <c r="DI95" s="115" t="str">
        <f t="shared" si="29"/>
        <v>OH</v>
      </c>
      <c r="DJ95" s="62">
        <f>IF(COUNT(I95:U95)&lt;5,DA95,SUMPRODUCT(LARGE(I95:U95,{1,2,3,4,5}))/5)</f>
        <v>46.847133015705012</v>
      </c>
      <c r="DK95" s="62">
        <f>IF(COUNT(I95:AN95)&lt;5,DA95,SUMPRODUCT(LARGE(I95:AN95,{1,2,3,4,5}))/5)</f>
        <v>46.847133015705012</v>
      </c>
      <c r="DL95" s="209">
        <f>IF(COUNT(J95:CZ95)&lt;5,AVERAGE(J95:CZ95),SUMPRODUCT(LARGE(J95:CZ95,{1,2,3,4,5}))/5)</f>
        <v>46.847133015705012</v>
      </c>
      <c r="DM95" s="62">
        <f t="shared" si="31"/>
        <v>46.032360239466456</v>
      </c>
      <c r="DN95" s="13" t="str">
        <f t="shared" si="30"/>
        <v>MYER, LAUREN</v>
      </c>
      <c r="DO95" s="7"/>
      <c r="DP95" s="8"/>
      <c r="DQ95" s="9"/>
      <c r="DR95" s="9"/>
      <c r="DS95" s="121"/>
      <c r="DT95" s="128"/>
      <c r="DU95" s="128"/>
      <c r="DV95" s="128"/>
      <c r="DW95" s="13"/>
      <c r="DX95" s="13"/>
      <c r="DY95" s="92"/>
      <c r="DZ95" s="83"/>
      <c r="EA95" s="13"/>
      <c r="EB95" s="13"/>
      <c r="EC95" s="13"/>
      <c r="ED95" s="13"/>
      <c r="EE95" s="13"/>
      <c r="EF95" s="13"/>
      <c r="EG95" s="13"/>
      <c r="EI95" s="152"/>
    </row>
    <row r="96" spans="1:139" x14ac:dyDescent="0.2">
      <c r="A96" s="7">
        <v>93</v>
      </c>
      <c r="B96" s="119" t="s">
        <v>244</v>
      </c>
      <c r="C96" s="9" t="s">
        <v>6</v>
      </c>
      <c r="D96" s="9" t="s">
        <v>34</v>
      </c>
      <c r="E96" s="10">
        <v>62.98028669114376</v>
      </c>
      <c r="F96" s="82">
        <v>62.98028669114376</v>
      </c>
      <c r="G96" s="9">
        <f t="shared" si="22"/>
        <v>0</v>
      </c>
      <c r="H96" s="93">
        <v>62.98028669114376</v>
      </c>
      <c r="I96" s="47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96"/>
      <c r="U96" s="297"/>
      <c r="V96" s="298"/>
      <c r="W96" s="11"/>
      <c r="X96" s="96"/>
      <c r="Y96" s="96"/>
      <c r="Z96" s="96"/>
      <c r="AA96" s="96"/>
      <c r="AB96" s="96"/>
      <c r="AC96" s="96"/>
      <c r="AD96" s="96"/>
      <c r="AE96" s="96"/>
      <c r="AF96" s="110"/>
      <c r="AG96" s="11"/>
      <c r="AH96" s="11"/>
      <c r="AI96" s="11"/>
      <c r="AJ96" s="11"/>
      <c r="AK96" s="11"/>
      <c r="AL96" s="11"/>
      <c r="AM96" s="11"/>
      <c r="AN96" s="250"/>
      <c r="AO96" s="25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96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96"/>
      <c r="BO96" s="11"/>
      <c r="BP96" s="11"/>
      <c r="BQ96" s="11"/>
      <c r="BR96" s="11"/>
      <c r="BS96" s="11"/>
      <c r="BT96" s="11"/>
      <c r="BU96" s="11"/>
      <c r="BV96" s="11"/>
      <c r="BW96" s="96"/>
      <c r="BX96" s="11"/>
      <c r="BY96" s="11"/>
      <c r="BZ96" s="11"/>
      <c r="CA96" s="11"/>
      <c r="CB96" s="11"/>
      <c r="CC96" s="11"/>
      <c r="CD96" s="11"/>
      <c r="CE96" s="11"/>
      <c r="CF96" s="11"/>
      <c r="CG96" s="96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20"/>
      <c r="CV96" s="11"/>
      <c r="CW96" s="20"/>
      <c r="CX96" s="96"/>
      <c r="CY96" s="96"/>
      <c r="CZ96" s="11"/>
      <c r="DA96" s="26">
        <f t="shared" si="23"/>
        <v>62.98028669114376</v>
      </c>
      <c r="DB96" s="53" t="str">
        <f t="shared" si="24"/>
        <v>Nagel, Jordan</v>
      </c>
      <c r="DC96" s="68">
        <f t="shared" si="25"/>
        <v>0</v>
      </c>
      <c r="DD96" s="62">
        <v>62.98028669114376</v>
      </c>
      <c r="DE96" s="209">
        <f t="shared" si="26"/>
        <v>0</v>
      </c>
      <c r="DF96" s="115">
        <f t="shared" si="32"/>
        <v>0</v>
      </c>
      <c r="DG96" s="4">
        <f t="shared" si="27"/>
        <v>0</v>
      </c>
      <c r="DH96" s="115">
        <f t="shared" si="28"/>
        <v>0</v>
      </c>
      <c r="DI96" s="115" t="str">
        <f t="shared" si="29"/>
        <v>NY</v>
      </c>
      <c r="DJ96" s="62">
        <f>IF(COUNT(I96:U96)&lt;5,DA96,SUMPRODUCT(LARGE(I96:U96,{1,2,3,4,5}))/5)</f>
        <v>62.98028669114376</v>
      </c>
      <c r="DK96" s="62">
        <f>IF(COUNT(I96:AN96)&lt;5,DA96,SUMPRODUCT(LARGE(I96:AN96,{1,2,3,4,5}))/5)</f>
        <v>62.98028669114376</v>
      </c>
      <c r="DL96" s="209">
        <f>IF(COUNT(J96:CZ96)=0,0,SUMPRODUCT(LARGE(J96:CZ96,{1,2,3,4,5}))/5)</f>
        <v>0</v>
      </c>
      <c r="DM96" s="62">
        <f t="shared" si="31"/>
        <v>0</v>
      </c>
      <c r="DN96" s="13" t="str">
        <f t="shared" si="30"/>
        <v>Nagel, Jordan</v>
      </c>
      <c r="DO96" s="7"/>
      <c r="DP96" s="8"/>
      <c r="DQ96" s="9"/>
      <c r="DR96" s="9"/>
      <c r="DS96" s="121"/>
      <c r="DT96" s="128"/>
      <c r="DU96" s="128"/>
      <c r="DV96" s="128"/>
      <c r="DW96" s="13"/>
      <c r="DX96" s="13"/>
      <c r="DY96" s="92"/>
      <c r="DZ96" s="83"/>
      <c r="EA96" s="13"/>
      <c r="EB96" s="13"/>
      <c r="EC96" s="13"/>
      <c r="ED96" s="13"/>
      <c r="EE96" s="13"/>
      <c r="EF96" s="13"/>
      <c r="EG96" s="13"/>
      <c r="EI96" s="152"/>
    </row>
    <row r="97" spans="1:139" x14ac:dyDescent="0.2">
      <c r="A97" s="7">
        <v>94</v>
      </c>
      <c r="B97" s="119" t="s">
        <v>377</v>
      </c>
      <c r="C97" s="9" t="s">
        <v>5</v>
      </c>
      <c r="D97" s="9" t="s">
        <v>51</v>
      </c>
      <c r="E97" s="10">
        <v>0</v>
      </c>
      <c r="F97" s="82">
        <v>0</v>
      </c>
      <c r="G97" s="9">
        <f t="shared" si="22"/>
        <v>1</v>
      </c>
      <c r="H97" s="93">
        <v>0</v>
      </c>
      <c r="I97" s="47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299"/>
      <c r="V97" s="300"/>
      <c r="W97" s="96"/>
      <c r="X97" s="96"/>
      <c r="Y97" s="96"/>
      <c r="Z97" s="96"/>
      <c r="AA97" s="96"/>
      <c r="AB97" s="96"/>
      <c r="AC97" s="96"/>
      <c r="AD97" s="96"/>
      <c r="AE97" s="96"/>
      <c r="AF97" s="110"/>
      <c r="AG97" s="96"/>
      <c r="AH97" s="96"/>
      <c r="AI97" s="96"/>
      <c r="AJ97" s="96"/>
      <c r="AK97" s="96"/>
      <c r="AL97" s="96"/>
      <c r="AM97" s="96"/>
      <c r="AN97" s="252"/>
      <c r="AO97" s="251"/>
      <c r="AP97" s="96"/>
      <c r="AQ97" s="96"/>
      <c r="AR97" s="96"/>
      <c r="AS97" s="96"/>
      <c r="AT97" s="96"/>
      <c r="AU97" s="96"/>
      <c r="AV97" s="96"/>
      <c r="AW97" s="11"/>
      <c r="AX97" s="11"/>
      <c r="AY97" s="96"/>
      <c r="AZ97" s="96"/>
      <c r="BA97" s="11"/>
      <c r="BB97" s="11"/>
      <c r="BC97" s="11"/>
      <c r="BD97" s="96"/>
      <c r="BE97" s="11"/>
      <c r="BF97" s="96"/>
      <c r="BG97" s="11">
        <f>(INDEX('Race 51'!$E$8:$E$200,(MATCH($B97,'Race 51'!$B$8:$B$200,0)),1))*100</f>
        <v>57.430528542544415</v>
      </c>
      <c r="BH97" s="96"/>
      <c r="BI97" s="96"/>
      <c r="BJ97" s="96"/>
      <c r="BK97" s="96"/>
      <c r="BL97" s="11"/>
      <c r="BM97" s="11"/>
      <c r="BN97" s="96"/>
      <c r="BO97" s="96"/>
      <c r="BP97" s="96"/>
      <c r="BQ97" s="96"/>
      <c r="BR97" s="96"/>
      <c r="BS97" s="11"/>
      <c r="BT97" s="11"/>
      <c r="BU97" s="11"/>
      <c r="BV97" s="11"/>
      <c r="BW97" s="96"/>
      <c r="BX97" s="96"/>
      <c r="BY97" s="96"/>
      <c r="BZ97" s="96"/>
      <c r="CA97" s="96"/>
      <c r="CB97" s="11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112"/>
      <c r="CV97" s="96"/>
      <c r="CW97" s="112"/>
      <c r="CX97" s="96"/>
      <c r="CY97" s="96"/>
      <c r="CZ97" s="96"/>
      <c r="DA97" s="26">
        <f t="shared" si="23"/>
        <v>57.430528542544415</v>
      </c>
      <c r="DB97" s="53" t="str">
        <f t="shared" si="24"/>
        <v>Neigh, Arianne</v>
      </c>
      <c r="DC97" s="68">
        <f t="shared" si="25"/>
        <v>1</v>
      </c>
      <c r="DD97" s="62">
        <v>0</v>
      </c>
      <c r="DE97" s="209">
        <f t="shared" si="26"/>
        <v>56.431687670771758</v>
      </c>
      <c r="DF97" s="115">
        <f t="shared" si="32"/>
        <v>0</v>
      </c>
      <c r="DG97" s="4">
        <f t="shared" si="27"/>
        <v>0</v>
      </c>
      <c r="DH97" s="115">
        <f t="shared" si="28"/>
        <v>1</v>
      </c>
      <c r="DI97" s="115" t="str">
        <f t="shared" si="29"/>
        <v>WI</v>
      </c>
      <c r="DJ97" s="62">
        <f>IF(COUNT(I97:U97)&lt;5,DA97,SUMPRODUCT(LARGE(I97:U97,{1,2,3,4,5}))/5)</f>
        <v>57.430528542544415</v>
      </c>
      <c r="DK97" s="62">
        <f>IF(COUNT(I97:AN97)&lt;5,DA97,SUMPRODUCT(LARGE(I97:AN97,{1,2,3,4,5}))/5)</f>
        <v>57.430528542544415</v>
      </c>
      <c r="DL97" s="209">
        <f>IF(COUNT(J97:CZ97)&lt;5,AVERAGE(J97:CZ97),SUMPRODUCT(LARGE(J97:CZ97,{1,2,3,4,5}))/5)</f>
        <v>57.430528542544415</v>
      </c>
      <c r="DM97" s="62">
        <f t="shared" si="31"/>
        <v>56.431687670771758</v>
      </c>
      <c r="DN97" s="13" t="str">
        <f t="shared" si="30"/>
        <v>Neigh, Arianne</v>
      </c>
      <c r="DO97" s="7"/>
      <c r="DP97" s="8"/>
      <c r="DQ97" s="9"/>
      <c r="DR97" s="9"/>
      <c r="DS97" s="121"/>
      <c r="DT97" s="128"/>
      <c r="DU97" s="128"/>
      <c r="DV97" s="128"/>
      <c r="DW97" s="13"/>
      <c r="DX97" s="13"/>
      <c r="DY97" s="92"/>
      <c r="DZ97" s="83"/>
      <c r="EA97" s="13"/>
      <c r="EB97" s="13"/>
      <c r="EC97" s="13"/>
      <c r="ED97" s="13"/>
      <c r="EE97" s="13"/>
      <c r="EF97" s="13"/>
      <c r="EG97" s="13"/>
      <c r="EI97" s="152"/>
    </row>
    <row r="98" spans="1:139" x14ac:dyDescent="0.2">
      <c r="A98" s="7">
        <v>95</v>
      </c>
      <c r="B98" s="119" t="s">
        <v>303</v>
      </c>
      <c r="C98" s="9" t="s">
        <v>5</v>
      </c>
      <c r="D98" s="9" t="s">
        <v>293</v>
      </c>
      <c r="E98" s="10">
        <v>32.618988373151701</v>
      </c>
      <c r="F98" s="82">
        <v>42.874094829807888</v>
      </c>
      <c r="G98" s="9">
        <f t="shared" si="22"/>
        <v>4</v>
      </c>
      <c r="H98" s="93">
        <v>32.618988373151701</v>
      </c>
      <c r="I98" s="47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96"/>
      <c r="U98" s="297"/>
      <c r="V98" s="298"/>
      <c r="W98" s="11"/>
      <c r="X98" s="96"/>
      <c r="Y98" s="96"/>
      <c r="Z98" s="96"/>
      <c r="AA98" s="96"/>
      <c r="AB98" s="96"/>
      <c r="AC98" s="96"/>
      <c r="AD98" s="96"/>
      <c r="AE98" s="96"/>
      <c r="AF98" s="110"/>
      <c r="AG98" s="11"/>
      <c r="AH98" s="11"/>
      <c r="AI98" s="11"/>
      <c r="AJ98" s="11"/>
      <c r="AK98" s="11"/>
      <c r="AL98" s="11"/>
      <c r="AM98" s="11">
        <f>(INDEX('Race 31'!$E$8:$E$200,(MATCH($B98,'Race 31'!$B$8:$B$200,0)),1))*100</f>
        <v>42.604408768139358</v>
      </c>
      <c r="AN98" s="250">
        <f>(INDEX('Race 32'!$E$8:$E$200,(MATCH($B98,'Race 32'!$B$8:$B$200,0)),1))*100</f>
        <v>43.14378089147641</v>
      </c>
      <c r="AO98" s="25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96"/>
      <c r="BA98" s="11"/>
      <c r="BB98" s="11"/>
      <c r="BC98" s="96"/>
      <c r="BD98" s="11"/>
      <c r="BE98" s="96"/>
      <c r="BF98" s="11"/>
      <c r="BG98" s="11"/>
      <c r="BH98" s="11">
        <f>(INDEX('Race 52'!$E$8:$E$200,(MATCH($B98,'Race 52'!$B$8:$B$200,0)),1))*100</f>
        <v>34.757787247268645</v>
      </c>
      <c r="BI98" s="11">
        <f>(INDEX('Race 53'!$E$8:$E$200,(MATCH($B98,'Race 53'!$B$8:$B$200,0)),1))*100</f>
        <v>36.365695460029926</v>
      </c>
      <c r="BJ98" s="11"/>
      <c r="BK98" s="11"/>
      <c r="BL98" s="11"/>
      <c r="BM98" s="11"/>
      <c r="BN98" s="96"/>
      <c r="BO98" s="11"/>
      <c r="BP98" s="11"/>
      <c r="BQ98" s="11"/>
      <c r="BR98" s="11"/>
      <c r="BS98" s="11"/>
      <c r="BT98" s="11"/>
      <c r="BU98" s="11"/>
      <c r="BV98" s="11"/>
      <c r="BW98" s="96"/>
      <c r="BX98" s="11"/>
      <c r="BY98" s="11"/>
      <c r="BZ98" s="11"/>
      <c r="CA98" s="11"/>
      <c r="CB98" s="11"/>
      <c r="CC98" s="11"/>
      <c r="CD98" s="11"/>
      <c r="CE98" s="11"/>
      <c r="CF98" s="11"/>
      <c r="CG98" s="96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20"/>
      <c r="CV98" s="11"/>
      <c r="CW98" s="20"/>
      <c r="CX98" s="96"/>
      <c r="CY98" s="96"/>
      <c r="CZ98" s="11"/>
      <c r="DA98" s="26">
        <f t="shared" si="23"/>
        <v>39.217918091728592</v>
      </c>
      <c r="DB98" s="53" t="str">
        <f t="shared" si="24"/>
        <v>Nolan, Ashley</v>
      </c>
      <c r="DC98" s="68">
        <f t="shared" si="25"/>
        <v>1</v>
      </c>
      <c r="DD98" s="62">
        <v>32.618988373151701</v>
      </c>
      <c r="DE98" s="209">
        <f t="shared" si="26"/>
        <v>38.535833832886503</v>
      </c>
      <c r="DF98" s="115">
        <f t="shared" si="32"/>
        <v>0</v>
      </c>
      <c r="DG98" s="4">
        <f t="shared" si="27"/>
        <v>2</v>
      </c>
      <c r="DH98" s="115">
        <f t="shared" si="28"/>
        <v>4</v>
      </c>
      <c r="DI98" s="115" t="str">
        <f t="shared" si="29"/>
        <v>RI</v>
      </c>
      <c r="DJ98" s="62">
        <f>IF(COUNT(I98:U98)&lt;5,DA98,SUMPRODUCT(LARGE(I98:U98,{1,2,3,4,5}))/5)</f>
        <v>39.217918091728592</v>
      </c>
      <c r="DK98" s="62">
        <f>IF(COUNT(I98:AN98)&lt;5,DA98,SUMPRODUCT(LARGE(I98:AN98,{1,2,3,4,5}))/5)</f>
        <v>39.217918091728592</v>
      </c>
      <c r="DL98" s="209">
        <f>IF(COUNT(J98:CZ98)&lt;5,AVERAGE(J98:CZ98),SUMPRODUCT(LARGE(J98:CZ98,{1,2,3,4,5}))/5)</f>
        <v>39.217918091728592</v>
      </c>
      <c r="DM98" s="62">
        <f t="shared" si="31"/>
        <v>38.535833832886503</v>
      </c>
      <c r="DN98" s="13" t="str">
        <f t="shared" si="30"/>
        <v>Nolan, Ashley</v>
      </c>
      <c r="DO98" s="7"/>
      <c r="DP98" s="8"/>
      <c r="DQ98" s="9"/>
      <c r="DR98" s="9"/>
      <c r="DS98" s="121"/>
      <c r="DT98" s="128"/>
      <c r="DU98" s="128"/>
      <c r="DV98" s="128"/>
      <c r="DW98" s="13"/>
      <c r="DX98" s="13"/>
      <c r="DY98" s="92"/>
      <c r="DZ98" s="83"/>
      <c r="EA98" s="13"/>
      <c r="EB98" s="13"/>
      <c r="EC98" s="13"/>
      <c r="ED98" s="13"/>
      <c r="EE98" s="13"/>
      <c r="EF98" s="13"/>
      <c r="EG98" s="13"/>
      <c r="EI98" s="152"/>
    </row>
    <row r="99" spans="1:139" x14ac:dyDescent="0.2">
      <c r="A99" s="7">
        <v>96</v>
      </c>
      <c r="B99" s="119" t="s">
        <v>279</v>
      </c>
      <c r="C99" s="9" t="s">
        <v>5</v>
      </c>
      <c r="D99" s="9" t="s">
        <v>41</v>
      </c>
      <c r="E99" s="10">
        <v>28.534634631854143</v>
      </c>
      <c r="F99" s="82">
        <v>28.534634631854143</v>
      </c>
      <c r="G99" s="9">
        <f t="shared" si="22"/>
        <v>0</v>
      </c>
      <c r="H99" s="93">
        <v>28.534634631854143</v>
      </c>
      <c r="I99" s="47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96"/>
      <c r="U99" s="297"/>
      <c r="V99" s="298"/>
      <c r="W99" s="11"/>
      <c r="X99" s="96"/>
      <c r="Y99" s="96"/>
      <c r="Z99" s="96"/>
      <c r="AA99" s="96"/>
      <c r="AB99" s="96"/>
      <c r="AC99" s="96"/>
      <c r="AD99" s="96"/>
      <c r="AE99" s="96"/>
      <c r="AF99" s="110"/>
      <c r="AG99" s="11"/>
      <c r="AH99" s="11"/>
      <c r="AI99" s="11"/>
      <c r="AJ99" s="11"/>
      <c r="AK99" s="11"/>
      <c r="AL99" s="11"/>
      <c r="AM99" s="11"/>
      <c r="AN99" s="250"/>
      <c r="AO99" s="25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96"/>
      <c r="BA99" s="11"/>
      <c r="BB99" s="11"/>
      <c r="BC99" s="96"/>
      <c r="BD99" s="11"/>
      <c r="BE99" s="96"/>
      <c r="BF99" s="11"/>
      <c r="BG99" s="11"/>
      <c r="BH99" s="11"/>
      <c r="BI99" s="11"/>
      <c r="BJ99" s="11"/>
      <c r="BK99" s="11"/>
      <c r="BL99" s="11"/>
      <c r="BM99" s="11"/>
      <c r="BN99" s="96"/>
      <c r="BO99" s="11"/>
      <c r="BP99" s="11"/>
      <c r="BQ99" s="11"/>
      <c r="BR99" s="11"/>
      <c r="BS99" s="11"/>
      <c r="BT99" s="11"/>
      <c r="BU99" s="11"/>
      <c r="BV99" s="11"/>
      <c r="BW99" s="96"/>
      <c r="BX99" s="11"/>
      <c r="BY99" s="11"/>
      <c r="BZ99" s="11"/>
      <c r="CA99" s="11"/>
      <c r="CB99" s="11"/>
      <c r="CC99" s="11"/>
      <c r="CD99" s="11"/>
      <c r="CE99" s="11"/>
      <c r="CF99" s="11"/>
      <c r="CG99" s="96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20"/>
      <c r="CV99" s="11"/>
      <c r="CW99" s="20"/>
      <c r="CX99" s="96"/>
      <c r="CY99" s="96"/>
      <c r="CZ99" s="11"/>
      <c r="DA99" s="26">
        <f t="shared" si="23"/>
        <v>28.534634631854143</v>
      </c>
      <c r="DB99" s="42" t="str">
        <f t="shared" si="24"/>
        <v>O'BRIEN, Seriena</v>
      </c>
      <c r="DC99" s="43">
        <f t="shared" si="25"/>
        <v>0</v>
      </c>
      <c r="DD99" s="62">
        <v>28.534634631854143</v>
      </c>
      <c r="DE99" s="62">
        <f t="shared" si="26"/>
        <v>0</v>
      </c>
      <c r="DF99" s="4">
        <f t="shared" si="32"/>
        <v>0</v>
      </c>
      <c r="DG99" s="4">
        <f t="shared" si="27"/>
        <v>0</v>
      </c>
      <c r="DH99" s="4">
        <f t="shared" si="28"/>
        <v>0</v>
      </c>
      <c r="DI99" s="4" t="str">
        <f t="shared" si="29"/>
        <v>MT</v>
      </c>
      <c r="DJ99" s="62">
        <f>IF(COUNT(I99:U99)&lt;5,DA99,SUMPRODUCT(LARGE(I99:U99,{1,2,3,4,5}))/5)</f>
        <v>28.534634631854143</v>
      </c>
      <c r="DK99" s="62">
        <f>IF(COUNT(I99:AN99)&lt;5,DA99,SUMPRODUCT(LARGE(I99:AN99,{1,2,3,4,5}))/5)</f>
        <v>28.534634631854143</v>
      </c>
      <c r="DL99" s="209">
        <f>IF(COUNT(J99:CZ99)=0,0,SUMPRODUCT(LARGE(J99:CZ99,{1,2,3,4,5}))/5)</f>
        <v>0</v>
      </c>
      <c r="DM99" s="62">
        <f t="shared" si="31"/>
        <v>0</v>
      </c>
      <c r="DN99" s="13" t="str">
        <f t="shared" si="30"/>
        <v>O'BRIEN, Seriena</v>
      </c>
      <c r="DO99" s="7"/>
      <c r="DP99" s="8"/>
      <c r="DQ99" s="9"/>
      <c r="DR99" s="9"/>
      <c r="DS99" s="121"/>
      <c r="DT99" s="128"/>
      <c r="DU99" s="128"/>
      <c r="DV99" s="128"/>
      <c r="DW99" s="13"/>
      <c r="DX99" s="13"/>
      <c r="DY99" s="92"/>
      <c r="DZ99" s="83"/>
      <c r="EA99" s="13"/>
      <c r="EB99" s="13"/>
      <c r="EC99" s="13"/>
      <c r="ED99" s="13"/>
      <c r="EE99" s="13"/>
      <c r="EF99" s="13"/>
      <c r="EG99" s="13"/>
      <c r="EI99" s="152"/>
    </row>
    <row r="100" spans="1:139" x14ac:dyDescent="0.2">
      <c r="A100" s="7">
        <v>97</v>
      </c>
      <c r="B100" s="119" t="s">
        <v>461</v>
      </c>
      <c r="C100" s="9" t="s">
        <v>5</v>
      </c>
      <c r="D100" s="9" t="s">
        <v>51</v>
      </c>
      <c r="E100" s="10">
        <v>0</v>
      </c>
      <c r="F100" s="82">
        <v>0</v>
      </c>
      <c r="G100" s="9">
        <f t="shared" ref="G100:G131" si="33">COUNT(I100:CZ100)</f>
        <v>1</v>
      </c>
      <c r="H100" s="93">
        <v>0</v>
      </c>
      <c r="I100" s="47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96"/>
      <c r="U100" s="297"/>
      <c r="V100" s="298"/>
      <c r="W100" s="11"/>
      <c r="X100" s="96"/>
      <c r="Y100" s="96"/>
      <c r="Z100" s="96"/>
      <c r="AA100" s="96"/>
      <c r="AB100" s="96"/>
      <c r="AC100" s="96"/>
      <c r="AD100" s="96"/>
      <c r="AE100" s="96"/>
      <c r="AF100" s="110"/>
      <c r="AG100" s="11"/>
      <c r="AH100" s="11"/>
      <c r="AI100" s="11"/>
      <c r="AJ100" s="11"/>
      <c r="AK100" s="11"/>
      <c r="AL100" s="11"/>
      <c r="AM100" s="11"/>
      <c r="AN100" s="250"/>
      <c r="AO100" s="25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96"/>
      <c r="BA100" s="11"/>
      <c r="BB100" s="11"/>
      <c r="BC100" s="96"/>
      <c r="BD100" s="11"/>
      <c r="BE100" s="96"/>
      <c r="BF100" s="11"/>
      <c r="BG100" s="11">
        <f>(INDEX('Race 51'!$E$8:$E$200,(MATCH($B100,'Race 51'!$B$8:$B$200,0)),1))*100</f>
        <v>44.306852143773845</v>
      </c>
      <c r="BH100" s="11"/>
      <c r="BI100" s="11"/>
      <c r="BJ100" s="11"/>
      <c r="BK100" s="11"/>
      <c r="BL100" s="11"/>
      <c r="BM100" s="11"/>
      <c r="BN100" s="96"/>
      <c r="BO100" s="11"/>
      <c r="BP100" s="11"/>
      <c r="BQ100" s="11"/>
      <c r="BR100" s="11"/>
      <c r="BS100" s="11"/>
      <c r="BT100" s="11"/>
      <c r="BU100" s="11"/>
      <c r="BV100" s="11"/>
      <c r="BW100" s="96"/>
      <c r="BX100" s="11"/>
      <c r="BY100" s="11"/>
      <c r="BZ100" s="11"/>
      <c r="CA100" s="11"/>
      <c r="CB100" s="11"/>
      <c r="CC100" s="11"/>
      <c r="CD100" s="11"/>
      <c r="CE100" s="11"/>
      <c r="CF100" s="11"/>
      <c r="CG100" s="96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20"/>
      <c r="CV100" s="11"/>
      <c r="CW100" s="20"/>
      <c r="CX100" s="96"/>
      <c r="CY100" s="96"/>
      <c r="CZ100" s="11"/>
      <c r="DA100" s="26">
        <f t="shared" ref="DA100:DA131" si="34">IF(DC100&gt;0,AVERAGE(I100:CZ100),H100)</f>
        <v>44.306852143773845</v>
      </c>
      <c r="DB100" s="53" t="str">
        <f t="shared" ref="DB100:DB131" si="35">B100</f>
        <v>Osborne, Steph</v>
      </c>
      <c r="DC100" s="68">
        <f t="shared" ref="DC100:DC131" si="36">IF(G100&gt;0,1,0)</f>
        <v>1</v>
      </c>
      <c r="DD100" s="62">
        <v>0</v>
      </c>
      <c r="DE100" s="209">
        <f t="shared" ref="DE100:DE131" si="37">DM100</f>
        <v>43.536260335829667</v>
      </c>
      <c r="DF100" s="115">
        <f t="shared" si="32"/>
        <v>0</v>
      </c>
      <c r="DG100" s="4">
        <f t="shared" ref="DG100:DG131" si="38">COUNT(I100:AT100)</f>
        <v>0</v>
      </c>
      <c r="DH100" s="115">
        <f t="shared" ref="DH100:DH131" si="39">COUNT(I100:CZ100)</f>
        <v>1</v>
      </c>
      <c r="DI100" s="115" t="str">
        <f t="shared" ref="DI100:DI131" si="40">D100</f>
        <v>WI</v>
      </c>
      <c r="DJ100" s="62">
        <f>IF(COUNT(I100:U100)&lt;5,DA100,SUMPRODUCT(LARGE(I100:U100,{1,2,3,4,5}))/5)</f>
        <v>44.306852143773845</v>
      </c>
      <c r="DK100" s="62">
        <f>IF(COUNT(I100:AN100)&lt;5,DA100,SUMPRODUCT(LARGE(I100:AN100,{1,2,3,4,5}))/5)</f>
        <v>44.306852143773845</v>
      </c>
      <c r="DL100" s="209">
        <f>IF(COUNT(J100:CZ100)&lt;5,AVERAGE(J100:CZ100),SUMPRODUCT(LARGE(J100:CZ100,{1,2,3,4,5}))/5)</f>
        <v>44.306852143773845</v>
      </c>
      <c r="DM100" s="62">
        <f t="shared" si="31"/>
        <v>43.536260335829667</v>
      </c>
      <c r="DN100" s="13" t="str">
        <f t="shared" ref="DN100:DN131" si="41">B100</f>
        <v>Osborne, Steph</v>
      </c>
      <c r="DO100" s="7"/>
      <c r="DP100" s="8"/>
      <c r="DQ100" s="9"/>
      <c r="DR100" s="9"/>
      <c r="DS100" s="121"/>
      <c r="DT100" s="128"/>
      <c r="DU100" s="128"/>
      <c r="DV100" s="128"/>
      <c r="DW100" s="13"/>
      <c r="DX100" s="13"/>
      <c r="DY100" s="92"/>
      <c r="DZ100" s="83"/>
      <c r="EA100" s="13"/>
      <c r="EB100" s="13"/>
      <c r="EC100" s="13"/>
      <c r="ED100" s="13"/>
      <c r="EE100" s="13"/>
      <c r="EF100" s="13"/>
      <c r="EG100" s="13"/>
      <c r="EI100" s="152"/>
    </row>
    <row r="101" spans="1:139" x14ac:dyDescent="0.2">
      <c r="A101" s="7">
        <v>98</v>
      </c>
      <c r="B101" s="119" t="s">
        <v>416</v>
      </c>
      <c r="C101" s="9" t="s">
        <v>5</v>
      </c>
      <c r="D101" s="9" t="s">
        <v>35</v>
      </c>
      <c r="E101" s="10">
        <v>0</v>
      </c>
      <c r="F101" s="82">
        <v>40.793693826635952</v>
      </c>
      <c r="G101" s="9">
        <f t="shared" si="33"/>
        <v>2</v>
      </c>
      <c r="H101" s="93">
        <v>0</v>
      </c>
      <c r="I101" s="47"/>
      <c r="J101" s="11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299"/>
      <c r="V101" s="300"/>
      <c r="W101" s="96"/>
      <c r="X101" s="96"/>
      <c r="Y101" s="96"/>
      <c r="Z101" s="96"/>
      <c r="AA101" s="96"/>
      <c r="AB101" s="96"/>
      <c r="AC101" s="96"/>
      <c r="AD101" s="96"/>
      <c r="AE101" s="96"/>
      <c r="AF101" s="110"/>
      <c r="AG101" s="96"/>
      <c r="AH101" s="96"/>
      <c r="AI101" s="96"/>
      <c r="AJ101" s="96"/>
      <c r="AK101" s="96"/>
      <c r="AL101" s="96"/>
      <c r="AM101" s="96">
        <f>(INDEX('Race 31'!$E$8:$E$200,(MATCH($B101,'Race 31'!$B$8:$B$200,0)),1))*100</f>
        <v>39.250174799625562</v>
      </c>
      <c r="AN101" s="250">
        <f>(INDEX('Race 32'!$E$8:$E$200,(MATCH($B101,'Race 32'!$B$8:$B$200,0)),1))*100</f>
        <v>42.337212853646342</v>
      </c>
      <c r="AO101" s="251"/>
      <c r="AP101" s="96"/>
      <c r="AQ101" s="96"/>
      <c r="AR101" s="96"/>
      <c r="AS101" s="96"/>
      <c r="AT101" s="96"/>
      <c r="AU101" s="96"/>
      <c r="AV101" s="96"/>
      <c r="AW101" s="11"/>
      <c r="AX101" s="11"/>
      <c r="AY101" s="96"/>
      <c r="AZ101" s="96"/>
      <c r="BA101" s="11"/>
      <c r="BB101" s="11"/>
      <c r="BC101" s="11"/>
      <c r="BD101" s="96"/>
      <c r="BE101" s="11"/>
      <c r="BF101" s="96"/>
      <c r="BG101" s="96"/>
      <c r="BH101" s="96"/>
      <c r="BI101" s="96"/>
      <c r="BJ101" s="96"/>
      <c r="BK101" s="96"/>
      <c r="BL101" s="11"/>
      <c r="BM101" s="11"/>
      <c r="BN101" s="96"/>
      <c r="BO101" s="96"/>
      <c r="BP101" s="96"/>
      <c r="BQ101" s="96"/>
      <c r="BR101" s="11"/>
      <c r="BS101" s="11"/>
      <c r="BT101" s="11"/>
      <c r="BU101" s="11"/>
      <c r="BV101" s="11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20"/>
      <c r="CV101" s="96"/>
      <c r="CW101" s="20"/>
      <c r="CX101" s="96"/>
      <c r="CY101" s="96"/>
      <c r="CZ101" s="96"/>
      <c r="DA101" s="26">
        <f t="shared" si="34"/>
        <v>40.793693826635952</v>
      </c>
      <c r="DB101" s="53" t="str">
        <f t="shared" si="35"/>
        <v>Ott, Ashley</v>
      </c>
      <c r="DC101" s="68">
        <f t="shared" si="36"/>
        <v>1</v>
      </c>
      <c r="DD101" s="62">
        <v>66.367715995604314</v>
      </c>
      <c r="DE101" s="209">
        <f t="shared" si="37"/>
        <v>40.084203425995831</v>
      </c>
      <c r="DF101" s="115">
        <f t="shared" si="32"/>
        <v>0</v>
      </c>
      <c r="DG101" s="4">
        <f t="shared" si="38"/>
        <v>2</v>
      </c>
      <c r="DH101" s="115">
        <f t="shared" si="39"/>
        <v>2</v>
      </c>
      <c r="DI101" s="115" t="str">
        <f t="shared" si="40"/>
        <v>WY</v>
      </c>
      <c r="DJ101" s="62">
        <f>IF(COUNT(I101:U101)&lt;5,DA101,SUMPRODUCT(LARGE(I101:U101,{1,2,3,4,5}))/5)</f>
        <v>40.793693826635952</v>
      </c>
      <c r="DK101" s="62">
        <f>IF(COUNT(I101:AN101)&lt;5,DA101,SUMPRODUCT(LARGE(I101:AN101,{1,2,3,4,5}))/5)</f>
        <v>40.793693826635952</v>
      </c>
      <c r="DL101" s="209">
        <f>IF(COUNT(J101:CZ101)&lt;5,AVERAGE(J101:CZ101),SUMPRODUCT(LARGE(J101:CZ101,{1,2,3,4,5}))/5)</f>
        <v>40.793693826635952</v>
      </c>
      <c r="DM101" s="62">
        <f t="shared" si="31"/>
        <v>40.084203425995831</v>
      </c>
      <c r="DN101" s="13" t="str">
        <f t="shared" si="41"/>
        <v>Ott, Ashley</v>
      </c>
      <c r="DO101" s="7"/>
      <c r="DP101" s="8"/>
      <c r="DQ101" s="9"/>
      <c r="DR101" s="9"/>
      <c r="DS101" s="121"/>
      <c r="DT101" s="128"/>
      <c r="DU101" s="128"/>
      <c r="DV101" s="128"/>
      <c r="DW101" s="13"/>
      <c r="DX101" s="13"/>
      <c r="DY101" s="92"/>
      <c r="DZ101" s="83"/>
      <c r="EA101" s="13"/>
      <c r="EB101" s="13"/>
      <c r="EC101" s="13"/>
      <c r="ED101" s="13"/>
      <c r="EE101" s="13"/>
      <c r="EF101" s="13"/>
      <c r="EG101" s="13"/>
      <c r="EI101" s="152"/>
    </row>
    <row r="102" spans="1:139" x14ac:dyDescent="0.2">
      <c r="A102" s="7">
        <v>99</v>
      </c>
      <c r="B102" s="119" t="s">
        <v>411</v>
      </c>
      <c r="C102" s="9" t="s">
        <v>5</v>
      </c>
      <c r="D102" s="9" t="s">
        <v>37</v>
      </c>
      <c r="E102" s="10">
        <v>0</v>
      </c>
      <c r="F102" s="82">
        <v>61.726198870793141</v>
      </c>
      <c r="G102" s="9">
        <f t="shared" si="33"/>
        <v>5</v>
      </c>
      <c r="H102" s="93">
        <v>0</v>
      </c>
      <c r="I102" s="47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96"/>
      <c r="U102" s="297"/>
      <c r="V102" s="300"/>
      <c r="W102" s="11"/>
      <c r="X102" s="96"/>
      <c r="Y102" s="96"/>
      <c r="Z102" s="96"/>
      <c r="AA102" s="96"/>
      <c r="AB102" s="96"/>
      <c r="AC102" s="96"/>
      <c r="AD102" s="96"/>
      <c r="AE102" s="96"/>
      <c r="AF102" s="110"/>
      <c r="AG102" s="11"/>
      <c r="AH102" s="11"/>
      <c r="AI102" s="11"/>
      <c r="AJ102" s="11"/>
      <c r="AK102" s="11"/>
      <c r="AL102" s="11"/>
      <c r="AM102" s="11">
        <f>(INDEX('Race 31'!$E$8:$E$200,(MATCH($B102,'Race 31'!$B$8:$B$200,0)),1))*100</f>
        <v>59.267371837796254</v>
      </c>
      <c r="AN102" s="250">
        <f>(INDEX('Race 32'!$E$8:$E$200,(MATCH($B102,'Race 32'!$B$8:$B$200,0)),1))*100</f>
        <v>64.185025903790034</v>
      </c>
      <c r="AO102" s="251"/>
      <c r="AP102" s="96"/>
      <c r="AQ102" s="11"/>
      <c r="AR102" s="96"/>
      <c r="AS102" s="11"/>
      <c r="AT102" s="96"/>
      <c r="AU102" s="11"/>
      <c r="AV102" s="11"/>
      <c r="AW102" s="11">
        <f>(INDEX('Race 41'!$E$8:$E$200,(MATCH($B102,'Race 41'!$B$8:$B$200,0)),1))*100</f>
        <v>65.094812101455005</v>
      </c>
      <c r="AX102" s="11"/>
      <c r="AY102" s="96"/>
      <c r="AZ102" s="96"/>
      <c r="BA102" s="11"/>
      <c r="BB102" s="11"/>
      <c r="BC102" s="96"/>
      <c r="BD102" s="11"/>
      <c r="BE102" s="96"/>
      <c r="BF102" s="11"/>
      <c r="BG102" s="11"/>
      <c r="BH102" s="11">
        <f>(INDEX('Race 52'!$E$8:$E$200,(MATCH($B102,'Race 52'!$B$8:$B$200,0)),1))*100</f>
        <v>63.194367134746244</v>
      </c>
      <c r="BI102" s="11">
        <f>(INDEX('Race 53'!$E$8:$E$200,(MATCH($B102,'Race 53'!$B$8:$B$200,0)),1))*100</f>
        <v>61.682973990909794</v>
      </c>
      <c r="BJ102" s="11"/>
      <c r="BK102" s="11"/>
      <c r="BL102" s="11"/>
      <c r="BM102" s="11"/>
      <c r="BN102" s="96"/>
      <c r="BO102" s="11"/>
      <c r="BP102" s="11"/>
      <c r="BQ102" s="11"/>
      <c r="BR102" s="11"/>
      <c r="BS102" s="11"/>
      <c r="BT102" s="11"/>
      <c r="BU102" s="11"/>
      <c r="BV102" s="11"/>
      <c r="BW102" s="96"/>
      <c r="BX102" s="11"/>
      <c r="BY102" s="11"/>
      <c r="BZ102" s="11"/>
      <c r="CA102" s="11"/>
      <c r="CB102" s="11"/>
      <c r="CC102" s="11"/>
      <c r="CD102" s="11"/>
      <c r="CE102" s="11"/>
      <c r="CF102" s="11"/>
      <c r="CG102" s="96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20"/>
      <c r="CV102" s="11"/>
      <c r="CW102" s="20"/>
      <c r="CX102" s="96"/>
      <c r="CY102" s="96"/>
      <c r="CZ102" s="11"/>
      <c r="DA102" s="26">
        <f t="shared" si="34"/>
        <v>62.684910193739462</v>
      </c>
      <c r="DB102" s="53" t="str">
        <f t="shared" si="35"/>
        <v>Pearson, Lisl</v>
      </c>
      <c r="DC102" s="68">
        <f t="shared" si="36"/>
        <v>1</v>
      </c>
      <c r="DD102" s="62">
        <v>66.367715995604314</v>
      </c>
      <c r="DE102" s="209">
        <f t="shared" si="37"/>
        <v>61.594684281948979</v>
      </c>
      <c r="DF102" s="115">
        <f t="shared" si="32"/>
        <v>0</v>
      </c>
      <c r="DG102" s="4">
        <f t="shared" si="38"/>
        <v>2</v>
      </c>
      <c r="DH102" s="115">
        <f t="shared" si="39"/>
        <v>5</v>
      </c>
      <c r="DI102" s="115" t="str">
        <f t="shared" si="40"/>
        <v>CO</v>
      </c>
      <c r="DJ102" s="62">
        <f>IF(COUNT(I102:U102)&lt;5,DA102,SUMPRODUCT(LARGE(I102:U102,{1,2,3,4,5}))/5)</f>
        <v>62.684910193739462</v>
      </c>
      <c r="DK102" s="62">
        <f>IF(COUNT(I102:AN102)&lt;5,DA102,SUMPRODUCT(LARGE(I102:AN102,{1,2,3,4,5}))/5)</f>
        <v>62.684910193739462</v>
      </c>
      <c r="DL102" s="209">
        <f>IF(COUNT(J102:CZ102)&lt;5,AVERAGE(J102:CZ102),SUMPRODUCT(LARGE(J102:CZ102,{1,2,3,4,5}))/5)</f>
        <v>62.684910193739469</v>
      </c>
      <c r="DM102" s="62">
        <f t="shared" si="31"/>
        <v>61.594684281948979</v>
      </c>
      <c r="DN102" s="13" t="str">
        <f t="shared" si="41"/>
        <v>Pearson, Lisl</v>
      </c>
      <c r="DO102" s="7"/>
      <c r="DP102" s="8"/>
      <c r="DQ102" s="9"/>
      <c r="DR102" s="9"/>
      <c r="DS102" s="121"/>
      <c r="DT102" s="128"/>
      <c r="DU102" s="128"/>
      <c r="DV102" s="128"/>
      <c r="DW102" s="13"/>
      <c r="DX102" s="13"/>
      <c r="DY102" s="92"/>
      <c r="DZ102" s="83"/>
      <c r="EA102" s="13"/>
      <c r="EB102" s="13"/>
      <c r="EC102" s="13"/>
      <c r="ED102" s="13"/>
      <c r="EE102" s="13"/>
      <c r="EF102" s="13"/>
      <c r="EG102" s="13"/>
      <c r="EI102" s="152"/>
    </row>
    <row r="103" spans="1:139" x14ac:dyDescent="0.2">
      <c r="A103" s="7">
        <v>100</v>
      </c>
      <c r="B103" s="119" t="s">
        <v>437</v>
      </c>
      <c r="C103" s="9" t="s">
        <v>5</v>
      </c>
      <c r="D103" s="9" t="s">
        <v>37</v>
      </c>
      <c r="E103" s="10">
        <v>0</v>
      </c>
      <c r="F103" s="82">
        <v>0</v>
      </c>
      <c r="G103" s="9">
        <f t="shared" si="33"/>
        <v>2</v>
      </c>
      <c r="H103" s="93">
        <v>0</v>
      </c>
      <c r="I103" s="47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96"/>
      <c r="U103" s="297"/>
      <c r="V103" s="298"/>
      <c r="W103" s="11"/>
      <c r="X103" s="96"/>
      <c r="Y103" s="96"/>
      <c r="Z103" s="96"/>
      <c r="AA103" s="96"/>
      <c r="AB103" s="96"/>
      <c r="AC103" s="96"/>
      <c r="AD103" s="96"/>
      <c r="AE103" s="96"/>
      <c r="AF103" s="110"/>
      <c r="AG103" s="11"/>
      <c r="AH103" s="11"/>
      <c r="AI103" s="11"/>
      <c r="AJ103" s="11"/>
      <c r="AK103" s="11"/>
      <c r="AL103" s="11"/>
      <c r="AM103" s="11"/>
      <c r="AN103" s="250"/>
      <c r="AO103" s="251"/>
      <c r="AP103" s="11"/>
      <c r="AQ103" s="11"/>
      <c r="AR103" s="11"/>
      <c r="AS103" s="11"/>
      <c r="AT103" s="11"/>
      <c r="AU103" s="11"/>
      <c r="AV103" s="11"/>
      <c r="AW103" s="11">
        <f>(INDEX('Race 41'!$E$8:$E$200,(MATCH($B103,'Race 41'!$B$8:$B$200,0)),1))*100</f>
        <v>54.291843284617784</v>
      </c>
      <c r="AX103" s="11">
        <f>(INDEX('Race 42'!$E$8:$E$200,(MATCH($B103,'Race 42'!$B$8:$B$200,0)),1))*100</f>
        <v>70.68818829984022</v>
      </c>
      <c r="AY103" s="11"/>
      <c r="AZ103" s="96"/>
      <c r="BA103" s="11"/>
      <c r="BB103" s="11"/>
      <c r="BC103" s="96"/>
      <c r="BD103" s="11"/>
      <c r="BE103" s="96"/>
      <c r="BF103" s="11"/>
      <c r="BG103" s="11"/>
      <c r="BH103" s="11"/>
      <c r="BI103" s="11"/>
      <c r="BJ103" s="11"/>
      <c r="BK103" s="11"/>
      <c r="BL103" s="11"/>
      <c r="BM103" s="11"/>
      <c r="BN103" s="96"/>
      <c r="BO103" s="11"/>
      <c r="BP103" s="11"/>
      <c r="BQ103" s="11"/>
      <c r="BR103" s="11"/>
      <c r="BS103" s="11"/>
      <c r="BT103" s="11"/>
      <c r="BU103" s="11"/>
      <c r="BV103" s="11"/>
      <c r="BW103" s="96"/>
      <c r="BX103" s="11"/>
      <c r="BY103" s="11"/>
      <c r="BZ103" s="11"/>
      <c r="CA103" s="11"/>
      <c r="CB103" s="11"/>
      <c r="CC103" s="11"/>
      <c r="CD103" s="11"/>
      <c r="CE103" s="11"/>
      <c r="CF103" s="11"/>
      <c r="CG103" s="96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20"/>
      <c r="CV103" s="11"/>
      <c r="CW103" s="20"/>
      <c r="CX103" s="96"/>
      <c r="CY103" s="96"/>
      <c r="CZ103" s="11"/>
      <c r="DA103" s="26">
        <f t="shared" si="34"/>
        <v>62.490015792229002</v>
      </c>
      <c r="DB103" s="53" t="str">
        <f t="shared" si="35"/>
        <v>Pedro Trujillo, Dalia</v>
      </c>
      <c r="DC103" s="68">
        <f t="shared" si="36"/>
        <v>1</v>
      </c>
      <c r="DD103" s="62">
        <v>66.367715995604314</v>
      </c>
      <c r="DE103" s="209">
        <f t="shared" si="37"/>
        <v>61.403179514816749</v>
      </c>
      <c r="DF103" s="115">
        <f t="shared" si="32"/>
        <v>0</v>
      </c>
      <c r="DG103" s="4">
        <f t="shared" si="38"/>
        <v>0</v>
      </c>
      <c r="DH103" s="115">
        <f t="shared" si="39"/>
        <v>2</v>
      </c>
      <c r="DI103" s="115" t="str">
        <f t="shared" si="40"/>
        <v>CO</v>
      </c>
      <c r="DJ103" s="62">
        <f>IF(COUNT(I103:U103)&lt;5,DA103,SUMPRODUCT(LARGE(I103:U103,{1,2,3,4,5}))/5)</f>
        <v>62.490015792229002</v>
      </c>
      <c r="DK103" s="62">
        <f>IF(COUNT(I103:AN103)&lt;5,DA103,SUMPRODUCT(LARGE(I103:AN103,{1,2,3,4,5}))/5)</f>
        <v>62.490015792229002</v>
      </c>
      <c r="DL103" s="209">
        <f>IF(COUNT(J103:CZ103)&lt;5,AVERAGE(J103:CZ103),SUMPRODUCT(LARGE(J103:CZ103,{1,2,3,4,5}))/5)</f>
        <v>62.490015792229002</v>
      </c>
      <c r="DM103" s="62">
        <f t="shared" si="31"/>
        <v>61.403179514816749</v>
      </c>
      <c r="DN103" s="13" t="str">
        <f t="shared" si="41"/>
        <v>Pedro Trujillo, Dalia</v>
      </c>
      <c r="DO103" s="7"/>
      <c r="DP103" s="8"/>
      <c r="DQ103" s="9"/>
      <c r="DR103" s="9"/>
      <c r="DS103" s="121"/>
      <c r="DT103" s="128"/>
      <c r="DU103" s="128"/>
      <c r="DV103" s="128"/>
      <c r="DW103" s="13"/>
      <c r="DX103" s="13"/>
      <c r="DY103" s="92"/>
      <c r="DZ103" s="83"/>
      <c r="EA103" s="13"/>
      <c r="EB103" s="13"/>
      <c r="EC103" s="13"/>
      <c r="ED103" s="13"/>
      <c r="EE103" s="13"/>
      <c r="EF103" s="13"/>
      <c r="EG103" s="13"/>
      <c r="EI103" s="152"/>
    </row>
    <row r="104" spans="1:139" x14ac:dyDescent="0.2">
      <c r="A104" s="7">
        <v>101</v>
      </c>
      <c r="B104" s="8" t="s">
        <v>216</v>
      </c>
      <c r="C104" s="9" t="s">
        <v>5</v>
      </c>
      <c r="D104" s="9" t="s">
        <v>34</v>
      </c>
      <c r="E104" s="10">
        <v>91.868180810287825</v>
      </c>
      <c r="F104" s="82">
        <v>93.181593215393349</v>
      </c>
      <c r="G104" s="9">
        <f t="shared" si="33"/>
        <v>12</v>
      </c>
      <c r="H104" s="93">
        <v>90.310789689595381</v>
      </c>
      <c r="I104" s="47"/>
      <c r="J104" s="11"/>
      <c r="K104" s="96"/>
      <c r="L104" s="96"/>
      <c r="M104" s="11"/>
      <c r="N104" s="11"/>
      <c r="O104" s="11">
        <f>(INDEX('Race 7'!$E$8:$E$200,(MATCH($B104,'Race 7'!$B$8:$B$200,0)),1))*100</f>
        <v>93.333079532943557</v>
      </c>
      <c r="P104" s="11">
        <f>(INDEX('Race 8'!$E$8:$E$200,(MATCH($B104,'Race 8'!$B$8:$B$200,0)),1))*100</f>
        <v>89.474553515880345</v>
      </c>
      <c r="Q104" s="11">
        <f>(INDEX('Race 9'!$E$8:$E$200,(MATCH($B104,'Race 9'!$B$8:$B$200,0)),1))*100</f>
        <v>94.688598157929817</v>
      </c>
      <c r="R104" s="11">
        <f>(INDEX('Race 10'!$E$8:$E$200,(MATCH($B104,'Race 10'!$B$8:$B$200,0)),1))*100</f>
        <v>89.976492034397623</v>
      </c>
      <c r="S104" s="11"/>
      <c r="T104" s="11"/>
      <c r="U104" s="297"/>
      <c r="V104" s="298"/>
      <c r="W104" s="11">
        <f>(INDEX('Race 15'!$E$8:$E$200,(MATCH($B104,'Race 15'!$B$8:$B$200,0)),1))*100</f>
        <v>91.643517526220435</v>
      </c>
      <c r="X104" s="11">
        <f>(INDEX('Race 16'!$E$8:$E$200,(MATCH($B104,'Race 16'!$B$8:$B$200,0)),1))*100</f>
        <v>88.101225227666731</v>
      </c>
      <c r="Y104" s="96"/>
      <c r="Z104" s="96"/>
      <c r="AA104" s="11">
        <f>(INDEX('Race 19'!$E$8:$E$200,(MATCH($B104,'Race 19'!$B$8:$B$200,0)),1))*100</f>
        <v>94.094135061701621</v>
      </c>
      <c r="AB104" s="96"/>
      <c r="AC104" s="11">
        <f>(INDEX('Race 21'!$E$8:$E$200,(MATCH($B104,'Race 21'!$B$8:$B$200,0)),1))*100</f>
        <v>89.019922832497031</v>
      </c>
      <c r="AD104" s="11"/>
      <c r="AE104" s="96"/>
      <c r="AF104" s="110"/>
      <c r="AG104" s="11"/>
      <c r="AH104" s="96"/>
      <c r="AI104" s="11">
        <f>(INDEX('Race 27'!$E$8:$E$200,(MATCH($B104,'Race 27'!$B$8:$B$200,0)),1))*100</f>
        <v>90.982544703726205</v>
      </c>
      <c r="AJ104" s="11">
        <f>(INDEX('Race 28'!$E$8:$E$200,(MATCH($B104,'Race 28'!$B$8:$B$200,0)),1))*100</f>
        <v>92.14863579817137</v>
      </c>
      <c r="AK104" s="11"/>
      <c r="AL104" s="11"/>
      <c r="AM104" s="11"/>
      <c r="AN104" s="252"/>
      <c r="AO104" s="251"/>
      <c r="AP104" s="96"/>
      <c r="AQ104" s="96"/>
      <c r="AR104" s="96"/>
      <c r="AS104" s="11"/>
      <c r="AT104" s="96"/>
      <c r="AU104" s="96"/>
      <c r="AV104" s="96"/>
      <c r="AW104" s="11"/>
      <c r="AX104" s="11"/>
      <c r="AY104" s="96"/>
      <c r="AZ104" s="11"/>
      <c r="BA104" s="96"/>
      <c r="BB104" s="11"/>
      <c r="BC104" s="11"/>
      <c r="BD104" s="11"/>
      <c r="BE104" s="11"/>
      <c r="BF104" s="11"/>
      <c r="BG104" s="96"/>
      <c r="BH104" s="11"/>
      <c r="BI104" s="96"/>
      <c r="BJ104" s="96"/>
      <c r="BK104" s="96"/>
      <c r="BL104" s="11"/>
      <c r="BM104" s="11"/>
      <c r="BN104" s="11"/>
      <c r="BO104" s="11">
        <f>(INDEX('Race 59'!$E$8:$E$200,(MATCH($B104,'Race 59'!$B$8:$B$200,0)),1))*100</f>
        <v>84.321881133220373</v>
      </c>
      <c r="BP104" s="11"/>
      <c r="BQ104" s="96">
        <f>(INDEX('Race 61'!$E$8:$E$200,(MATCH($B104,'Race 61'!$B$8:$B$200,0)),1))*100</f>
        <v>85.120195522245695</v>
      </c>
      <c r="BR104" s="11"/>
      <c r="BS104" s="11"/>
      <c r="BT104" s="11"/>
      <c r="BU104" s="11"/>
      <c r="BV104" s="11"/>
      <c r="BW104" s="96"/>
      <c r="BX104" s="96"/>
      <c r="BY104" s="96"/>
      <c r="BZ104" s="96"/>
      <c r="CA104" s="96"/>
      <c r="CB104" s="11"/>
      <c r="CC104" s="96"/>
      <c r="CD104" s="11"/>
      <c r="CE104" s="11"/>
      <c r="CF104" s="11"/>
      <c r="CG104" s="96"/>
      <c r="CH104" s="96"/>
      <c r="CI104" s="11"/>
      <c r="CJ104" s="96"/>
      <c r="CK104" s="96"/>
      <c r="CL104" s="11"/>
      <c r="CM104" s="11"/>
      <c r="CN104" s="96"/>
      <c r="CO104" s="96"/>
      <c r="CP104" s="96"/>
      <c r="CQ104" s="96"/>
      <c r="CR104" s="96"/>
      <c r="CS104" s="96"/>
      <c r="CT104" s="96"/>
      <c r="CU104" s="112"/>
      <c r="CV104" s="96"/>
      <c r="CW104" s="112"/>
      <c r="CX104" s="96"/>
      <c r="CY104" s="96"/>
      <c r="CZ104" s="96"/>
      <c r="DA104" s="26">
        <f t="shared" si="34"/>
        <v>90.242065087216744</v>
      </c>
      <c r="DB104" s="42" t="str">
        <f t="shared" si="35"/>
        <v>Phaneuf, Madeleine</v>
      </c>
      <c r="DC104" s="43">
        <f t="shared" si="36"/>
        <v>1</v>
      </c>
      <c r="DD104" s="62">
        <v>90.310789689595381</v>
      </c>
      <c r="DE104" s="62">
        <f t="shared" si="37"/>
        <v>91.560964149939423</v>
      </c>
      <c r="DF104" s="4">
        <f t="shared" si="32"/>
        <v>6</v>
      </c>
      <c r="DG104" s="4">
        <f t="shared" si="38"/>
        <v>10</v>
      </c>
      <c r="DH104" s="4">
        <f t="shared" si="39"/>
        <v>12</v>
      </c>
      <c r="DI104" s="4" t="str">
        <f t="shared" si="40"/>
        <v>NY</v>
      </c>
      <c r="DJ104" s="62">
        <f>IF(COUNT(I104:U104)&lt;5,DA104,SUMPRODUCT(LARGE(I104:U104,{1,2,3,4,5}))/5)</f>
        <v>90.242065087216744</v>
      </c>
      <c r="DK104" s="62">
        <f>IF(COUNT(I104:AN104)&lt;5,DA104,SUMPRODUCT(LARGE(I104:AN104,{1,2,3,4,5}))/5)</f>
        <v>93.181593215393349</v>
      </c>
      <c r="DL104" s="62">
        <f>SUMPRODUCT(LARGE(I104:CZ104,{1,2,3,4,5}))/5</f>
        <v>93.181593215393349</v>
      </c>
      <c r="DM104" s="62">
        <f t="shared" si="31"/>
        <v>91.560964149939423</v>
      </c>
      <c r="DN104" s="13" t="str">
        <f t="shared" si="41"/>
        <v>Phaneuf, Madeleine</v>
      </c>
      <c r="DO104" s="7"/>
      <c r="DP104" s="8"/>
      <c r="DQ104" s="9"/>
      <c r="DR104" s="9"/>
      <c r="DS104" s="121"/>
      <c r="DT104" s="128"/>
      <c r="DU104" s="128"/>
      <c r="DV104" s="128"/>
      <c r="DW104" s="13"/>
      <c r="DX104" s="13"/>
      <c r="DY104" s="92"/>
      <c r="DZ104" s="83"/>
      <c r="EA104" s="13"/>
      <c r="EB104" s="13"/>
      <c r="EC104" s="13"/>
      <c r="ED104" s="13"/>
      <c r="EE104" s="13"/>
      <c r="EF104" s="13"/>
      <c r="EG104" s="13"/>
      <c r="EI104" s="152"/>
    </row>
    <row r="105" spans="1:139" x14ac:dyDescent="0.2">
      <c r="A105" s="7">
        <v>102</v>
      </c>
      <c r="B105" s="119" t="s">
        <v>435</v>
      </c>
      <c r="C105" s="9" t="s">
        <v>5</v>
      </c>
      <c r="D105" s="9" t="s">
        <v>37</v>
      </c>
      <c r="E105" s="10">
        <v>0</v>
      </c>
      <c r="F105" s="82">
        <v>0</v>
      </c>
      <c r="G105" s="9">
        <f t="shared" si="33"/>
        <v>1</v>
      </c>
      <c r="H105" s="93">
        <v>0</v>
      </c>
      <c r="I105" s="47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96"/>
      <c r="U105" s="297"/>
      <c r="V105" s="298"/>
      <c r="W105" s="11"/>
      <c r="X105" s="96"/>
      <c r="Y105" s="96"/>
      <c r="Z105" s="96"/>
      <c r="AA105" s="96"/>
      <c r="AB105" s="96"/>
      <c r="AC105" s="96"/>
      <c r="AD105" s="96"/>
      <c r="AE105" s="96"/>
      <c r="AF105" s="110"/>
      <c r="AG105" s="11"/>
      <c r="AH105" s="11"/>
      <c r="AI105" s="11"/>
      <c r="AJ105" s="11"/>
      <c r="AK105" s="11"/>
      <c r="AL105" s="11"/>
      <c r="AM105" s="11"/>
      <c r="AN105" s="250"/>
      <c r="AO105" s="251"/>
      <c r="AP105" s="11"/>
      <c r="AQ105" s="11"/>
      <c r="AR105" s="11"/>
      <c r="AS105" s="11"/>
      <c r="AT105" s="11"/>
      <c r="AU105" s="11"/>
      <c r="AV105" s="11"/>
      <c r="AW105" s="11">
        <f>(INDEX('Race 41'!$E$8:$E$200,(MATCH($B105,'Race 41'!$B$8:$B$200,0)),1))*100</f>
        <v>55.592954997321044</v>
      </c>
      <c r="AX105" s="11"/>
      <c r="AY105" s="11"/>
      <c r="AZ105" s="96"/>
      <c r="BA105" s="11"/>
      <c r="BB105" s="96"/>
      <c r="BC105" s="96"/>
      <c r="BD105" s="11"/>
      <c r="BE105" s="96"/>
      <c r="BF105" s="11"/>
      <c r="BG105" s="11"/>
      <c r="BH105" s="11"/>
      <c r="BI105" s="11"/>
      <c r="BJ105" s="11"/>
      <c r="BK105" s="11"/>
      <c r="BL105" s="11"/>
      <c r="BM105" s="11"/>
      <c r="BN105" s="96"/>
      <c r="BO105" s="11"/>
      <c r="BP105" s="11"/>
      <c r="BQ105" s="11"/>
      <c r="BR105" s="11"/>
      <c r="BS105" s="11"/>
      <c r="BT105" s="11"/>
      <c r="BU105" s="11"/>
      <c r="BV105" s="11"/>
      <c r="BW105" s="96"/>
      <c r="BX105" s="11"/>
      <c r="BY105" s="11"/>
      <c r="BZ105" s="11"/>
      <c r="CA105" s="11"/>
      <c r="CB105" s="11"/>
      <c r="CC105" s="11"/>
      <c r="CD105" s="11"/>
      <c r="CE105" s="11"/>
      <c r="CF105" s="11"/>
      <c r="CG105" s="96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20"/>
      <c r="CV105" s="11"/>
      <c r="CW105" s="20"/>
      <c r="CX105" s="96"/>
      <c r="CY105" s="96"/>
      <c r="CZ105" s="11"/>
      <c r="DA105" s="26">
        <f t="shared" si="34"/>
        <v>55.592954997321044</v>
      </c>
      <c r="DB105" s="53" t="str">
        <f t="shared" si="35"/>
        <v>Pike, Elizabeth</v>
      </c>
      <c r="DC105" s="68">
        <f t="shared" si="36"/>
        <v>1</v>
      </c>
      <c r="DD105" s="62">
        <v>66.367715995604314</v>
      </c>
      <c r="DE105" s="209">
        <f t="shared" si="37"/>
        <v>54.626073496434167</v>
      </c>
      <c r="DF105" s="115">
        <f t="shared" si="32"/>
        <v>0</v>
      </c>
      <c r="DG105" s="4">
        <f t="shared" si="38"/>
        <v>0</v>
      </c>
      <c r="DH105" s="115">
        <f t="shared" si="39"/>
        <v>1</v>
      </c>
      <c r="DI105" s="115" t="str">
        <f t="shared" si="40"/>
        <v>CO</v>
      </c>
      <c r="DJ105" s="62">
        <f>IF(COUNT(I105:U105)&lt;5,DA105,SUMPRODUCT(LARGE(I105:U105,{1,2,3,4,5}))/5)</f>
        <v>55.592954997321044</v>
      </c>
      <c r="DK105" s="62">
        <f>IF(COUNT(I105:AN105)&lt;5,DA105,SUMPRODUCT(LARGE(I105:AN105,{1,2,3,4,5}))/5)</f>
        <v>55.592954997321044</v>
      </c>
      <c r="DL105" s="209">
        <f>IF(COUNT(J105:CZ105)&lt;5,AVERAGE(J105:CZ105),SUMPRODUCT(LARGE(J105:CZ105,{1,2,3,4,5}))/5)</f>
        <v>55.592954997321044</v>
      </c>
      <c r="DM105" s="62">
        <f t="shared" si="31"/>
        <v>54.626073496434167</v>
      </c>
      <c r="DN105" s="13" t="str">
        <f t="shared" si="41"/>
        <v>Pike, Elizabeth</v>
      </c>
      <c r="DO105" s="7"/>
      <c r="DP105" s="8"/>
      <c r="DQ105" s="9"/>
      <c r="DR105" s="9"/>
      <c r="DS105" s="121"/>
      <c r="DT105" s="128"/>
      <c r="DU105" s="128"/>
      <c r="DV105" s="128"/>
      <c r="DW105" s="13"/>
      <c r="DX105" s="13"/>
      <c r="DY105" s="92"/>
      <c r="DZ105" s="83"/>
      <c r="EA105" s="13"/>
      <c r="EB105" s="13"/>
      <c r="EC105" s="13"/>
      <c r="ED105" s="13"/>
      <c r="EE105" s="13"/>
      <c r="EF105" s="13"/>
      <c r="EG105" s="13"/>
      <c r="EI105" s="152"/>
    </row>
    <row r="106" spans="1:139" x14ac:dyDescent="0.2">
      <c r="A106" s="7">
        <v>103</v>
      </c>
      <c r="B106" s="119" t="s">
        <v>235</v>
      </c>
      <c r="C106" s="9" t="s">
        <v>5</v>
      </c>
      <c r="D106" s="9" t="s">
        <v>36</v>
      </c>
      <c r="E106" s="10">
        <v>39.347281062858286</v>
      </c>
      <c r="F106" s="82">
        <v>39.347281062858286</v>
      </c>
      <c r="G106" s="9">
        <f t="shared" si="33"/>
        <v>0</v>
      </c>
      <c r="H106" s="93">
        <v>39.347281062858286</v>
      </c>
      <c r="I106" s="47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96"/>
      <c r="U106" s="297"/>
      <c r="V106" s="298"/>
      <c r="W106" s="11"/>
      <c r="X106" s="96"/>
      <c r="Y106" s="96"/>
      <c r="Z106" s="96"/>
      <c r="AA106" s="96"/>
      <c r="AB106" s="96"/>
      <c r="AC106" s="96"/>
      <c r="AD106" s="96"/>
      <c r="AE106" s="96"/>
      <c r="AF106" s="110"/>
      <c r="AG106" s="11"/>
      <c r="AH106" s="11"/>
      <c r="AI106" s="11"/>
      <c r="AJ106" s="11"/>
      <c r="AK106" s="11"/>
      <c r="AL106" s="11"/>
      <c r="AM106" s="11"/>
      <c r="AN106" s="250"/>
      <c r="AO106" s="25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96"/>
      <c r="BA106" s="11"/>
      <c r="BB106" s="11"/>
      <c r="BC106" s="96"/>
      <c r="BD106" s="11"/>
      <c r="BE106" s="96"/>
      <c r="BF106" s="11"/>
      <c r="BG106" s="11"/>
      <c r="BH106" s="11"/>
      <c r="BI106" s="11"/>
      <c r="BJ106" s="11"/>
      <c r="BK106" s="11"/>
      <c r="BL106" s="11"/>
      <c r="BM106" s="11"/>
      <c r="BN106" s="96"/>
      <c r="BO106" s="11"/>
      <c r="BP106" s="11"/>
      <c r="BQ106" s="11"/>
      <c r="BR106" s="11"/>
      <c r="BS106" s="11"/>
      <c r="BT106" s="11"/>
      <c r="BU106" s="11"/>
      <c r="BV106" s="11"/>
      <c r="BW106" s="96"/>
      <c r="BX106" s="11"/>
      <c r="BY106" s="11"/>
      <c r="BZ106" s="11"/>
      <c r="CA106" s="11"/>
      <c r="CB106" s="11"/>
      <c r="CC106" s="11"/>
      <c r="CD106" s="11"/>
      <c r="CE106" s="11"/>
      <c r="CF106" s="11"/>
      <c r="CG106" s="96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20"/>
      <c r="CV106" s="11"/>
      <c r="CW106" s="20"/>
      <c r="CX106" s="96"/>
      <c r="CY106" s="96"/>
      <c r="CZ106" s="11"/>
      <c r="DA106" s="26">
        <f t="shared" si="34"/>
        <v>39.347281062858286</v>
      </c>
      <c r="DB106" s="42" t="str">
        <f t="shared" si="35"/>
        <v>Porteous, Grete</v>
      </c>
      <c r="DC106" s="43">
        <f t="shared" si="36"/>
        <v>0</v>
      </c>
      <c r="DD106" s="62">
        <v>39.347281062858286</v>
      </c>
      <c r="DE106" s="62">
        <f t="shared" si="37"/>
        <v>0</v>
      </c>
      <c r="DF106" s="4">
        <f t="shared" si="32"/>
        <v>0</v>
      </c>
      <c r="DG106" s="4">
        <f t="shared" si="38"/>
        <v>0</v>
      </c>
      <c r="DH106" s="4">
        <f t="shared" si="39"/>
        <v>0</v>
      </c>
      <c r="DI106" s="4" t="str">
        <f t="shared" si="40"/>
        <v>WA</v>
      </c>
      <c r="DJ106" s="62">
        <f>IF(COUNT(I106:U106)&lt;5,DA106,SUMPRODUCT(LARGE(I106:U106,{1,2,3,4,5}))/5)</f>
        <v>39.347281062858286</v>
      </c>
      <c r="DK106" s="62">
        <f>IF(COUNT(I106:AN106)&lt;5,DA106,SUMPRODUCT(LARGE(I106:AN106,{1,2,3,4,5}))/5)</f>
        <v>39.347281062858286</v>
      </c>
      <c r="DL106" s="209">
        <f>IF(COUNT(J106:CZ106)=0,0,SUMPRODUCT(LARGE(J106:CZ106,{1,2,3,4,5}))/5)</f>
        <v>0</v>
      </c>
      <c r="DM106" s="62">
        <f t="shared" si="31"/>
        <v>0</v>
      </c>
      <c r="DN106" s="13" t="str">
        <f t="shared" si="41"/>
        <v>Porteous, Grete</v>
      </c>
      <c r="DO106" s="7"/>
      <c r="DP106" s="8"/>
      <c r="DQ106" s="9"/>
      <c r="DR106" s="9"/>
      <c r="DS106" s="121"/>
      <c r="DT106" s="128"/>
      <c r="DU106" s="128"/>
      <c r="DV106" s="128"/>
      <c r="DW106" s="13"/>
      <c r="DX106" s="13"/>
      <c r="DY106" s="92"/>
      <c r="DZ106" s="83"/>
      <c r="EA106" s="13"/>
      <c r="EB106" s="13"/>
      <c r="EC106" s="13"/>
      <c r="ED106" s="13"/>
      <c r="EE106" s="13"/>
      <c r="EF106" s="13"/>
      <c r="EG106" s="13"/>
      <c r="EI106" s="152"/>
    </row>
    <row r="107" spans="1:139" x14ac:dyDescent="0.2">
      <c r="A107" s="7">
        <v>104</v>
      </c>
      <c r="B107" s="119" t="s">
        <v>467</v>
      </c>
      <c r="C107" s="9" t="s">
        <v>5</v>
      </c>
      <c r="D107" s="9" t="s">
        <v>43</v>
      </c>
      <c r="E107" s="10">
        <v>0</v>
      </c>
      <c r="F107" s="82">
        <v>0</v>
      </c>
      <c r="G107" s="9">
        <f t="shared" si="33"/>
        <v>2</v>
      </c>
      <c r="H107" s="93">
        <v>0</v>
      </c>
      <c r="I107" s="47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96"/>
      <c r="U107" s="297"/>
      <c r="V107" s="298"/>
      <c r="W107" s="11"/>
      <c r="X107" s="96"/>
      <c r="Y107" s="96"/>
      <c r="Z107" s="96"/>
      <c r="AA107" s="96"/>
      <c r="AB107" s="96"/>
      <c r="AC107" s="96"/>
      <c r="AD107" s="96"/>
      <c r="AE107" s="96"/>
      <c r="AF107" s="110"/>
      <c r="AG107" s="11"/>
      <c r="AH107" s="11"/>
      <c r="AI107" s="11"/>
      <c r="AJ107" s="11"/>
      <c r="AK107" s="11"/>
      <c r="AL107" s="11"/>
      <c r="AM107" s="11"/>
      <c r="AN107" s="250"/>
      <c r="AO107" s="251"/>
      <c r="AP107" s="11"/>
      <c r="AQ107" s="11"/>
      <c r="AR107" s="11"/>
      <c r="AS107" s="11"/>
      <c r="AT107" s="11"/>
      <c r="AU107" s="11"/>
      <c r="AV107" s="11"/>
      <c r="AW107" s="11"/>
      <c r="AX107" s="11"/>
      <c r="AY107" s="96"/>
      <c r="AZ107" s="96"/>
      <c r="BA107" s="11"/>
      <c r="BB107" s="11"/>
      <c r="BC107" s="96"/>
      <c r="BD107" s="11"/>
      <c r="BE107" s="96"/>
      <c r="BF107" s="11"/>
      <c r="BG107" s="11"/>
      <c r="BH107" s="11">
        <f>(INDEX('Race 52'!$E$8:$E$200,(MATCH($B107,'Race 52'!$B$8:$B$200,0)),1))*100</f>
        <v>45.623590542663663</v>
      </c>
      <c r="BI107" s="11">
        <f>(INDEX('Race 53'!$E$8:$E$200,(MATCH($B107,'Race 53'!$B$8:$B$200,0)),1))*100</f>
        <v>47.418196476948758</v>
      </c>
      <c r="BJ107" s="11"/>
      <c r="BK107" s="11"/>
      <c r="BL107" s="11"/>
      <c r="BM107" s="11"/>
      <c r="BN107" s="96"/>
      <c r="BO107" s="11"/>
      <c r="BP107" s="11"/>
      <c r="BQ107" s="11"/>
      <c r="BR107" s="11"/>
      <c r="BS107" s="11"/>
      <c r="BT107" s="11"/>
      <c r="BU107" s="11"/>
      <c r="BV107" s="11"/>
      <c r="BW107" s="96"/>
      <c r="BX107" s="11"/>
      <c r="BY107" s="11"/>
      <c r="BZ107" s="11"/>
      <c r="CA107" s="11"/>
      <c r="CB107" s="11"/>
      <c r="CC107" s="11"/>
      <c r="CD107" s="11"/>
      <c r="CE107" s="11"/>
      <c r="CF107" s="11"/>
      <c r="CG107" s="96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20"/>
      <c r="CV107" s="11"/>
      <c r="CW107" s="20"/>
      <c r="CX107" s="96"/>
      <c r="CY107" s="96"/>
      <c r="CZ107" s="11"/>
      <c r="DA107" s="26">
        <f t="shared" si="34"/>
        <v>46.520893509806214</v>
      </c>
      <c r="DB107" s="53" t="str">
        <f t="shared" si="35"/>
        <v>PURO, STEFANIE</v>
      </c>
      <c r="DC107" s="68">
        <f t="shared" si="36"/>
        <v>1</v>
      </c>
      <c r="DD107" s="62">
        <v>0</v>
      </c>
      <c r="DE107" s="209">
        <f t="shared" si="37"/>
        <v>45.711794742857634</v>
      </c>
      <c r="DF107" s="115">
        <f t="shared" si="32"/>
        <v>0</v>
      </c>
      <c r="DG107" s="4">
        <f t="shared" si="38"/>
        <v>0</v>
      </c>
      <c r="DH107" s="115">
        <f t="shared" si="39"/>
        <v>2</v>
      </c>
      <c r="DI107" s="115" t="str">
        <f t="shared" si="40"/>
        <v>UT</v>
      </c>
      <c r="DJ107" s="62">
        <f>IF(COUNT(I107:U107)&lt;5,DA107,SUMPRODUCT(LARGE(I107:U107,{1,2,3,4,5}))/5)</f>
        <v>46.520893509806214</v>
      </c>
      <c r="DK107" s="62">
        <f>IF(COUNT(I107:AN107)&lt;5,DA107,SUMPRODUCT(LARGE(I107:AN107,{1,2,3,4,5}))/5)</f>
        <v>46.520893509806214</v>
      </c>
      <c r="DL107" s="209">
        <f>IF(COUNT(J107:CZ107)&lt;5,AVERAGE(J107:CZ107),SUMPRODUCT(LARGE(J107:CZ107,{1,2,3,4,5}))/5)</f>
        <v>46.520893509806214</v>
      </c>
      <c r="DM107" s="62">
        <f t="shared" si="31"/>
        <v>45.711794742857634</v>
      </c>
      <c r="DN107" s="13" t="str">
        <f t="shared" si="41"/>
        <v>PURO, STEFANIE</v>
      </c>
      <c r="DO107" s="7"/>
      <c r="DP107" s="8"/>
      <c r="DQ107" s="9"/>
      <c r="DR107" s="9"/>
      <c r="DS107" s="121"/>
      <c r="DT107" s="128"/>
      <c r="DU107" s="128"/>
      <c r="DV107" s="128"/>
      <c r="DW107" s="13"/>
      <c r="DX107" s="13"/>
      <c r="DY107" s="92"/>
      <c r="DZ107" s="83"/>
      <c r="EA107" s="13"/>
      <c r="EB107" s="13"/>
      <c r="EC107" s="13"/>
      <c r="ED107" s="13"/>
      <c r="EE107" s="13"/>
      <c r="EF107" s="13"/>
      <c r="EG107" s="13"/>
      <c r="EI107" s="152"/>
    </row>
    <row r="108" spans="1:139" x14ac:dyDescent="0.2">
      <c r="A108" s="7">
        <v>105</v>
      </c>
      <c r="B108" s="119" t="s">
        <v>224</v>
      </c>
      <c r="C108" s="9" t="s">
        <v>5</v>
      </c>
      <c r="D108" s="9" t="s">
        <v>43</v>
      </c>
      <c r="E108" s="10">
        <v>48.681493877940532</v>
      </c>
      <c r="F108" s="82">
        <v>48.681493877940532</v>
      </c>
      <c r="G108" s="9">
        <f t="shared" si="33"/>
        <v>0</v>
      </c>
      <c r="H108" s="93">
        <v>48.681493877940532</v>
      </c>
      <c r="I108" s="47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96"/>
      <c r="U108" s="297"/>
      <c r="V108" s="300"/>
      <c r="W108" s="11"/>
      <c r="X108" s="96"/>
      <c r="Y108" s="96"/>
      <c r="Z108" s="96"/>
      <c r="AA108" s="96"/>
      <c r="AB108" s="96"/>
      <c r="AC108" s="96"/>
      <c r="AD108" s="96"/>
      <c r="AE108" s="96"/>
      <c r="AF108" s="110"/>
      <c r="AG108" s="11"/>
      <c r="AH108" s="11"/>
      <c r="AI108" s="11"/>
      <c r="AJ108" s="11"/>
      <c r="AK108" s="11"/>
      <c r="AL108" s="11"/>
      <c r="AM108" s="11"/>
      <c r="AN108" s="250"/>
      <c r="AO108" s="251"/>
      <c r="AP108" s="96"/>
      <c r="AQ108" s="11"/>
      <c r="AR108" s="96"/>
      <c r="AS108" s="11"/>
      <c r="AT108" s="96"/>
      <c r="AU108" s="11"/>
      <c r="AV108" s="11"/>
      <c r="AW108" s="11"/>
      <c r="AX108" s="11"/>
      <c r="AY108" s="96"/>
      <c r="AZ108" s="96"/>
      <c r="BA108" s="11"/>
      <c r="BB108" s="11"/>
      <c r="BC108" s="96"/>
      <c r="BD108" s="11"/>
      <c r="BE108" s="96"/>
      <c r="BF108" s="11"/>
      <c r="BG108" s="11"/>
      <c r="BH108" s="11"/>
      <c r="BI108" s="11"/>
      <c r="BJ108" s="11"/>
      <c r="BK108" s="11"/>
      <c r="BL108" s="11"/>
      <c r="BM108" s="11"/>
      <c r="BN108" s="96"/>
      <c r="BO108" s="11"/>
      <c r="BP108" s="11"/>
      <c r="BQ108" s="11"/>
      <c r="BR108" s="11"/>
      <c r="BS108" s="11"/>
      <c r="BT108" s="11"/>
      <c r="BU108" s="11"/>
      <c r="BV108" s="11"/>
      <c r="BW108" s="96"/>
      <c r="BX108" s="11"/>
      <c r="BY108" s="11"/>
      <c r="BZ108" s="11"/>
      <c r="CA108" s="11"/>
      <c r="CB108" s="11"/>
      <c r="CC108" s="11"/>
      <c r="CD108" s="11"/>
      <c r="CE108" s="11"/>
      <c r="CF108" s="11"/>
      <c r="CG108" s="96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20"/>
      <c r="CV108" s="11"/>
      <c r="CW108" s="20"/>
      <c r="CX108" s="96"/>
      <c r="CY108" s="96"/>
      <c r="CZ108" s="11"/>
      <c r="DA108" s="26">
        <f t="shared" si="34"/>
        <v>48.681493877940532</v>
      </c>
      <c r="DB108" s="53" t="str">
        <f t="shared" si="35"/>
        <v>Puro, Tylene</v>
      </c>
      <c r="DC108" s="68">
        <f t="shared" si="36"/>
        <v>0</v>
      </c>
      <c r="DD108" s="62">
        <v>48.681493877940532</v>
      </c>
      <c r="DE108" s="209">
        <f t="shared" si="37"/>
        <v>0</v>
      </c>
      <c r="DF108" s="115">
        <f t="shared" si="32"/>
        <v>0</v>
      </c>
      <c r="DG108" s="4">
        <f t="shared" si="38"/>
        <v>0</v>
      </c>
      <c r="DH108" s="115">
        <f t="shared" si="39"/>
        <v>0</v>
      </c>
      <c r="DI108" s="115" t="str">
        <f t="shared" si="40"/>
        <v>UT</v>
      </c>
      <c r="DJ108" s="62">
        <f>IF(COUNT(I108:U108)&lt;5,DA108,SUMPRODUCT(LARGE(I108:U108,{1,2,3,4,5}))/5)</f>
        <v>48.681493877940532</v>
      </c>
      <c r="DK108" s="62">
        <f>IF(COUNT(I108:AN108)&lt;5,DA108,SUMPRODUCT(LARGE(I108:AN108,{1,2,3,4,5}))/5)</f>
        <v>48.681493877940532</v>
      </c>
      <c r="DL108" s="209">
        <f>IF(COUNT(J108:CZ108)=0,0,SUMPRODUCT(LARGE(J108:CZ108,{1,2,3,4,5}))/5)</f>
        <v>0</v>
      </c>
      <c r="DM108" s="62">
        <f t="shared" si="31"/>
        <v>0</v>
      </c>
      <c r="DN108" s="13" t="str">
        <f t="shared" si="41"/>
        <v>Puro, Tylene</v>
      </c>
      <c r="DO108" s="7"/>
      <c r="DP108" s="8"/>
      <c r="DQ108" s="9"/>
      <c r="DR108" s="9"/>
      <c r="DS108" s="121"/>
      <c r="DT108" s="128"/>
      <c r="DU108" s="128"/>
      <c r="DV108" s="128"/>
      <c r="DW108" s="13"/>
      <c r="DX108" s="13"/>
      <c r="DY108" s="92"/>
      <c r="DZ108" s="83"/>
      <c r="EA108" s="13"/>
      <c r="EB108" s="13"/>
      <c r="EC108" s="13"/>
      <c r="ED108" s="13"/>
      <c r="EE108" s="13"/>
      <c r="EF108" s="13"/>
      <c r="EG108" s="13"/>
      <c r="EI108" s="152"/>
    </row>
    <row r="109" spans="1:139" x14ac:dyDescent="0.2">
      <c r="A109" s="7">
        <v>106</v>
      </c>
      <c r="B109" s="119" t="s">
        <v>249</v>
      </c>
      <c r="C109" s="9" t="s">
        <v>5</v>
      </c>
      <c r="D109" s="9" t="s">
        <v>37</v>
      </c>
      <c r="E109" s="10">
        <v>92.732138127112805</v>
      </c>
      <c r="F109" s="82">
        <v>94.212884468561555</v>
      </c>
      <c r="G109" s="9">
        <f t="shared" si="33"/>
        <v>14</v>
      </c>
      <c r="H109" s="93">
        <v>93.765334327313028</v>
      </c>
      <c r="I109" s="47"/>
      <c r="J109" s="11"/>
      <c r="K109" s="11"/>
      <c r="L109" s="11"/>
      <c r="M109" s="11"/>
      <c r="N109" s="11"/>
      <c r="O109" s="11">
        <f>(INDEX('Race 7'!$E$8:$E$200,(MATCH($B109,'Race 7'!$B$8:$B$200,0)),1))*100</f>
        <v>90.559129813207008</v>
      </c>
      <c r="P109" s="11">
        <f>(INDEX('Race 8'!$E$8:$E$200,(MATCH($B109,'Race 8'!$B$8:$B$200,0)),1))*100</f>
        <v>95.423715114527653</v>
      </c>
      <c r="Q109" s="11">
        <f>(INDEX('Race 9'!$E$8:$E$200,(MATCH($B109,'Race 9'!$B$8:$B$200,0)),1))*100</f>
        <v>92.213569453603725</v>
      </c>
      <c r="R109" s="11"/>
      <c r="S109" s="11"/>
      <c r="T109" s="11"/>
      <c r="U109" s="297"/>
      <c r="V109" s="300"/>
      <c r="W109" s="11">
        <f>(INDEX('Race 15'!$E$8:$E$200,(MATCH($B109,'Race 15'!$B$8:$B$200,0)),1))*100</f>
        <v>92.45995587261072</v>
      </c>
      <c r="X109" s="11">
        <f>(INDEX('Race 16'!$E$8:$E$200,(MATCH($B109,'Race 16'!$B$8:$B$200,0)),1))*100</f>
        <v>97.729361930768164</v>
      </c>
      <c r="Y109" s="96"/>
      <c r="Z109" s="96"/>
      <c r="AA109" s="11">
        <f>(INDEX('Race 19'!$E$8:$E$200,(MATCH($B109,'Race 19'!$B$8:$B$200,0)),1))*100</f>
        <v>88.009437741836763</v>
      </c>
      <c r="AB109" s="96"/>
      <c r="AC109" s="96"/>
      <c r="AD109" s="96"/>
      <c r="AE109" s="11">
        <f>(INDEX('Race 23'!$E$8:$E$200,(MATCH($B109,'Race 23'!$B$8:$B$200,0)),1))*100</f>
        <v>93.237819971297483</v>
      </c>
      <c r="AF109" s="110"/>
      <c r="AG109" s="11"/>
      <c r="AH109" s="11"/>
      <c r="AI109" s="11"/>
      <c r="AJ109" s="11"/>
      <c r="AK109" s="11"/>
      <c r="AL109" s="11"/>
      <c r="AM109" s="11"/>
      <c r="AN109" s="250"/>
      <c r="AO109" s="251"/>
      <c r="AP109" s="11"/>
      <c r="AQ109" s="11"/>
      <c r="AR109" s="11">
        <f>(INDEX('Race 36'!$E$8:$E$200,(MATCH($B109,'Race 36'!$B$8:$B$200,0)),1))*100</f>
        <v>87.906300627752003</v>
      </c>
      <c r="AS109" s="11"/>
      <c r="AT109" s="11">
        <f>(INDEX('Race 38'!$E$8:$E$200,(MATCH($B109,'Race 38'!$B$8:$B$200,0)),1))*100</f>
        <v>98.469418857871077</v>
      </c>
      <c r="AU109" s="11"/>
      <c r="AV109" s="11"/>
      <c r="AW109" s="11"/>
      <c r="AX109" s="11"/>
      <c r="AY109" s="96"/>
      <c r="AZ109" s="96"/>
      <c r="BA109" s="11"/>
      <c r="BB109" s="11"/>
      <c r="BC109" s="96"/>
      <c r="BD109" s="11"/>
      <c r="BE109" s="96"/>
      <c r="BF109" s="11"/>
      <c r="BG109" s="11"/>
      <c r="BH109" s="11"/>
      <c r="BI109" s="11"/>
      <c r="BJ109" s="11">
        <f>(INDEX('Race 54'!$E$8:$E$200,(MATCH($B109,'Race 54'!$B$8:$B$200,0)),1))*100</f>
        <v>92.293054315679811</v>
      </c>
      <c r="BK109" s="11">
        <f>(INDEX('Race 55'!$E$8:$E$200,(MATCH($B109,'Race 55'!$B$8:$B$200,0)),1))*100</f>
        <v>93.910647805480508</v>
      </c>
      <c r="BL109" s="11"/>
      <c r="BM109" s="11"/>
      <c r="BN109" s="11"/>
      <c r="BO109" s="11">
        <f>(INDEX('Race 59'!$E$8:$E$200,(MATCH($B109,'Race 59'!$B$8:$B$200,0)),1))*100</f>
        <v>94.854719618633155</v>
      </c>
      <c r="BP109" s="11"/>
      <c r="BQ109" s="11">
        <f>(INDEX('Race 61'!$E$8:$E$200,(MATCH($B109,'Race 61'!$B$8:$B$200,0)),1))*100</f>
        <v>91.31991842340075</v>
      </c>
      <c r="BR109" s="11"/>
      <c r="BS109" s="11"/>
      <c r="BT109" s="11"/>
      <c r="BU109" s="11"/>
      <c r="BV109" s="11"/>
      <c r="BW109" s="11">
        <f>(INDEX('Race 67'!$E$8:$E$200,(MATCH($B109,'Race 67'!$B$8:$B$200,0)),1))*100</f>
        <v>88.598545153888068</v>
      </c>
      <c r="BX109" s="11"/>
      <c r="BY109" s="11"/>
      <c r="BZ109" s="11"/>
      <c r="CA109" s="11"/>
      <c r="CB109" s="11"/>
      <c r="CC109" s="11"/>
      <c r="CD109" s="11"/>
      <c r="CE109" s="11"/>
      <c r="CF109" s="11"/>
      <c r="CG109" s="96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20"/>
      <c r="CV109" s="11"/>
      <c r="CW109" s="20"/>
      <c r="CX109" s="96"/>
      <c r="CY109" s="96"/>
      <c r="CZ109" s="11"/>
      <c r="DA109" s="26">
        <f t="shared" si="34"/>
        <v>92.641828192896938</v>
      </c>
      <c r="DB109" s="53" t="str">
        <f t="shared" si="35"/>
        <v>Reid, Joanne</v>
      </c>
      <c r="DC109" s="68">
        <f t="shared" si="36"/>
        <v>1</v>
      </c>
      <c r="DD109" s="62">
        <v>93.765334327313028</v>
      </c>
      <c r="DE109" s="209">
        <f t="shared" si="37"/>
        <v>94.406576265555771</v>
      </c>
      <c r="DF109" s="115">
        <f t="shared" si="32"/>
        <v>5</v>
      </c>
      <c r="DG109" s="4">
        <f t="shared" si="38"/>
        <v>9</v>
      </c>
      <c r="DH109" s="115">
        <f t="shared" si="39"/>
        <v>14</v>
      </c>
      <c r="DI109" s="115" t="str">
        <f t="shared" si="40"/>
        <v>CO</v>
      </c>
      <c r="DJ109" s="62">
        <f>IF(COUNT(I109:U109)&lt;5,DA109,SUMPRODUCT(LARGE(I109:U109,{1,2,3,4,5}))/5)</f>
        <v>92.641828192896938</v>
      </c>
      <c r="DK109" s="62">
        <f>IF(COUNT(I109:AN109)&lt;5,DA109,SUMPRODUCT(LARGE(I109:AN109,{1,2,3,4,5}))/5)</f>
        <v>94.212884468561555</v>
      </c>
      <c r="DL109" s="62">
        <f>IF(COUNT(I109:CZ109)&lt;5,AVERAGE(I109:CZ109),SUMPRODUCT(LARGE(I109:CZ109,{1,2,3,4,5}))/5)</f>
        <v>96.077572665456103</v>
      </c>
      <c r="DM109" s="62">
        <f t="shared" si="31"/>
        <v>94.406576265555771</v>
      </c>
      <c r="DN109" s="13" t="str">
        <f t="shared" si="41"/>
        <v>Reid, Joanne</v>
      </c>
      <c r="DO109" s="7"/>
      <c r="DP109" s="8"/>
      <c r="DQ109" s="9"/>
      <c r="DR109" s="9"/>
      <c r="DS109" s="121"/>
      <c r="DT109" s="128"/>
      <c r="DU109" s="128"/>
      <c r="DV109" s="128"/>
      <c r="DW109" s="13"/>
      <c r="DX109" s="13"/>
      <c r="DY109" s="92"/>
      <c r="DZ109" s="83"/>
      <c r="EA109" s="13"/>
      <c r="EB109" s="13"/>
      <c r="EC109" s="13"/>
      <c r="ED109" s="13"/>
      <c r="EE109" s="13"/>
      <c r="EF109" s="13"/>
      <c r="EG109" s="13"/>
      <c r="EI109" s="152"/>
    </row>
    <row r="110" spans="1:139" x14ac:dyDescent="0.2">
      <c r="A110" s="7">
        <v>107</v>
      </c>
      <c r="B110" s="119" t="s">
        <v>282</v>
      </c>
      <c r="C110" s="9" t="s">
        <v>5</v>
      </c>
      <c r="D110" s="9" t="s">
        <v>48</v>
      </c>
      <c r="E110" s="10">
        <v>20.804245609205289</v>
      </c>
      <c r="F110" s="82">
        <v>37.920209603970235</v>
      </c>
      <c r="G110" s="9">
        <f t="shared" si="33"/>
        <v>4</v>
      </c>
      <c r="H110" s="93">
        <v>20.804245609205289</v>
      </c>
      <c r="I110" s="47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96"/>
      <c r="U110" s="297"/>
      <c r="V110" s="298"/>
      <c r="W110" s="11"/>
      <c r="X110" s="96"/>
      <c r="Y110" s="96"/>
      <c r="Z110" s="96"/>
      <c r="AA110" s="96"/>
      <c r="AB110" s="96"/>
      <c r="AC110" s="96"/>
      <c r="AD110" s="96"/>
      <c r="AE110" s="96"/>
      <c r="AF110" s="110"/>
      <c r="AG110" s="11"/>
      <c r="AH110" s="11"/>
      <c r="AI110" s="11"/>
      <c r="AJ110" s="11"/>
      <c r="AK110" s="11"/>
      <c r="AL110" s="11"/>
      <c r="AM110" s="11">
        <f>(INDEX('Race 31'!$E$8:$E$200,(MATCH($B110,'Race 31'!$B$8:$B$200,0)),1))*100</f>
        <v>34.805889826714022</v>
      </c>
      <c r="AN110" s="250">
        <f>(INDEX('Race 32'!$E$8:$E$200,(MATCH($B110,'Race 32'!$B$8:$B$200,0)),1))*100</f>
        <v>41.034529381226456</v>
      </c>
      <c r="AO110" s="25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96"/>
      <c r="BA110" s="11"/>
      <c r="BB110" s="11"/>
      <c r="BC110" s="96"/>
      <c r="BD110" s="11"/>
      <c r="BE110" s="96"/>
      <c r="BF110" s="11"/>
      <c r="BG110" s="11"/>
      <c r="BH110" s="11">
        <f>(INDEX('Race 52'!$E$8:$E$200,(MATCH($B110,'Race 52'!$B$8:$B$200,0)),1))*100</f>
        <v>38.441444897894243</v>
      </c>
      <c r="BI110" s="11">
        <f>(INDEX('Race 53'!$E$8:$E$200,(MATCH($B110,'Race 53'!$B$8:$B$200,0)),1))*100</f>
        <v>42.508380933164133</v>
      </c>
      <c r="BJ110" s="11"/>
      <c r="BK110" s="11"/>
      <c r="BL110" s="11"/>
      <c r="BM110" s="11"/>
      <c r="BN110" s="96"/>
      <c r="BO110" s="11"/>
      <c r="BP110" s="11"/>
      <c r="BQ110" s="11"/>
      <c r="BR110" s="11"/>
      <c r="BS110" s="11"/>
      <c r="BT110" s="11"/>
      <c r="BU110" s="11"/>
      <c r="BV110" s="11"/>
      <c r="BW110" s="96"/>
      <c r="BX110" s="11"/>
      <c r="BY110" s="11"/>
      <c r="BZ110" s="11"/>
      <c r="CA110" s="11"/>
      <c r="CB110" s="11"/>
      <c r="CC110" s="11"/>
      <c r="CD110" s="11"/>
      <c r="CE110" s="11"/>
      <c r="CF110" s="11"/>
      <c r="CG110" s="96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20"/>
      <c r="CV110" s="11"/>
      <c r="CW110" s="20"/>
      <c r="CX110" s="96"/>
      <c r="CY110" s="96"/>
      <c r="CZ110" s="11"/>
      <c r="DA110" s="26">
        <f t="shared" si="34"/>
        <v>39.197561259749712</v>
      </c>
      <c r="DB110" s="42" t="str">
        <f t="shared" si="35"/>
        <v>RENNER, Lisa</v>
      </c>
      <c r="DC110" s="43">
        <f t="shared" si="36"/>
        <v>1</v>
      </c>
      <c r="DD110" s="62">
        <v>20.804245609205289</v>
      </c>
      <c r="DE110" s="62">
        <f t="shared" si="37"/>
        <v>38.51583105016185</v>
      </c>
      <c r="DF110" s="4">
        <f t="shared" si="32"/>
        <v>0</v>
      </c>
      <c r="DG110" s="4">
        <f t="shared" si="38"/>
        <v>2</v>
      </c>
      <c r="DH110" s="4">
        <f t="shared" si="39"/>
        <v>4</v>
      </c>
      <c r="DI110" s="4" t="str">
        <f t="shared" si="40"/>
        <v>CA</v>
      </c>
      <c r="DJ110" s="62">
        <f>IF(COUNT(I110:U110)&lt;5,DA110,SUMPRODUCT(LARGE(I110:U110,{1,2,3,4,5}))/5)</f>
        <v>39.197561259749712</v>
      </c>
      <c r="DK110" s="62">
        <f>IF(COUNT(I110:AN110)&lt;5,DA110,SUMPRODUCT(LARGE(I110:AN110,{1,2,3,4,5}))/5)</f>
        <v>39.197561259749712</v>
      </c>
      <c r="DL110" s="62">
        <f>IF(COUNT(J110:CZ110)&lt;5,AVERAGE(J110:CZ110),SUMPRODUCT(LARGE(J110:CZ110,{1,2,3,4,5}))/5)</f>
        <v>39.197561259749712</v>
      </c>
      <c r="DM110" s="62">
        <f t="shared" si="31"/>
        <v>38.51583105016185</v>
      </c>
      <c r="DN110" s="13" t="str">
        <f t="shared" si="41"/>
        <v>RENNER, Lisa</v>
      </c>
      <c r="DO110" s="7"/>
      <c r="DP110" s="8"/>
      <c r="DQ110" s="9"/>
      <c r="DR110" s="9"/>
      <c r="DS110" s="121"/>
      <c r="DT110" s="128"/>
      <c r="DU110" s="128"/>
      <c r="DV110" s="128"/>
      <c r="DW110" s="13"/>
      <c r="DX110" s="13"/>
      <c r="DY110" s="92"/>
      <c r="DZ110" s="83"/>
      <c r="EA110" s="13"/>
      <c r="EB110" s="13"/>
      <c r="EC110" s="13"/>
      <c r="ED110" s="13"/>
      <c r="EE110" s="13"/>
      <c r="EF110" s="13"/>
      <c r="EG110" s="13"/>
      <c r="EI110" s="152"/>
    </row>
    <row r="111" spans="1:139" x14ac:dyDescent="0.2">
      <c r="A111" s="7">
        <v>108</v>
      </c>
      <c r="B111" s="119" t="s">
        <v>261</v>
      </c>
      <c r="C111" s="9" t="s">
        <v>5</v>
      </c>
      <c r="D111" s="9" t="s">
        <v>43</v>
      </c>
      <c r="E111" s="10">
        <v>50.140613405380748</v>
      </c>
      <c r="F111" s="82">
        <v>50.140613405380748</v>
      </c>
      <c r="G111" s="9">
        <f t="shared" si="33"/>
        <v>0</v>
      </c>
      <c r="H111" s="93">
        <v>50.140613405380748</v>
      </c>
      <c r="I111" s="47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96"/>
      <c r="U111" s="297"/>
      <c r="V111" s="298"/>
      <c r="W111" s="11"/>
      <c r="X111" s="96"/>
      <c r="Y111" s="96"/>
      <c r="Z111" s="96"/>
      <c r="AA111" s="96"/>
      <c r="AB111" s="96"/>
      <c r="AC111" s="96"/>
      <c r="AD111" s="96"/>
      <c r="AE111" s="96"/>
      <c r="AF111" s="110"/>
      <c r="AG111" s="11"/>
      <c r="AH111" s="11"/>
      <c r="AI111" s="11"/>
      <c r="AJ111" s="11"/>
      <c r="AK111" s="11"/>
      <c r="AL111" s="11"/>
      <c r="AM111" s="11"/>
      <c r="AN111" s="250"/>
      <c r="AO111" s="25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96"/>
      <c r="BA111" s="11"/>
      <c r="BB111" s="11"/>
      <c r="BC111" s="96"/>
      <c r="BD111" s="11"/>
      <c r="BE111" s="96"/>
      <c r="BF111" s="11"/>
      <c r="BG111" s="11"/>
      <c r="BH111" s="11"/>
      <c r="BI111" s="11"/>
      <c r="BJ111" s="11"/>
      <c r="BK111" s="11"/>
      <c r="BL111" s="11"/>
      <c r="BM111" s="11"/>
      <c r="BN111" s="96"/>
      <c r="BO111" s="11"/>
      <c r="BP111" s="11"/>
      <c r="BQ111" s="11"/>
      <c r="BR111" s="11"/>
      <c r="BS111" s="11"/>
      <c r="BT111" s="11"/>
      <c r="BU111" s="11"/>
      <c r="BV111" s="11"/>
      <c r="BW111" s="96"/>
      <c r="BX111" s="11"/>
      <c r="BY111" s="11"/>
      <c r="BZ111" s="11"/>
      <c r="CA111" s="11"/>
      <c r="CB111" s="11"/>
      <c r="CC111" s="11"/>
      <c r="CD111" s="11"/>
      <c r="CE111" s="11"/>
      <c r="CF111" s="11"/>
      <c r="CG111" s="96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20"/>
      <c r="CV111" s="11"/>
      <c r="CW111" s="20"/>
      <c r="CX111" s="96"/>
      <c r="CY111" s="96"/>
      <c r="CZ111" s="11"/>
      <c r="DA111" s="26">
        <f t="shared" si="34"/>
        <v>50.140613405380748</v>
      </c>
      <c r="DB111" s="53" t="str">
        <f t="shared" si="35"/>
        <v>RICH, TRISH</v>
      </c>
      <c r="DC111" s="68">
        <f t="shared" si="36"/>
        <v>0</v>
      </c>
      <c r="DD111" s="209">
        <v>50.140613405380748</v>
      </c>
      <c r="DE111" s="209">
        <f t="shared" si="37"/>
        <v>0</v>
      </c>
      <c r="DF111" s="115">
        <f>COUNT(I111:AC111)</f>
        <v>0</v>
      </c>
      <c r="DG111" s="4">
        <f t="shared" si="38"/>
        <v>0</v>
      </c>
      <c r="DH111" s="115">
        <f t="shared" si="39"/>
        <v>0</v>
      </c>
      <c r="DI111" s="115" t="str">
        <f t="shared" si="40"/>
        <v>UT</v>
      </c>
      <c r="DJ111" s="62">
        <f>IF(COUNT(I111:U111)&lt;5,DA111,SUMPRODUCT(LARGE(I111:U111,{1,2,3,4,5}))/5)</f>
        <v>50.140613405380748</v>
      </c>
      <c r="DK111" s="62">
        <f>IF(COUNT(I111:AN111)&lt;5,DA111,SUMPRODUCT(LARGE(I111:AN111,{1,2,3,4,5}))/5)</f>
        <v>50.140613405380748</v>
      </c>
      <c r="DL111" s="209">
        <f>IF(COUNT(J111:CZ111)=0,0,SUMPRODUCT(LARGE(J111:CZ111,{1,2,3,4,5}))/5)</f>
        <v>0</v>
      </c>
      <c r="DM111" s="62">
        <f t="shared" si="31"/>
        <v>0</v>
      </c>
      <c r="DN111" s="13" t="str">
        <f t="shared" si="41"/>
        <v>RICH, TRISH</v>
      </c>
      <c r="DO111" s="7"/>
      <c r="DP111" s="8"/>
      <c r="DQ111" s="9"/>
      <c r="DR111" s="9"/>
      <c r="DS111" s="121"/>
      <c r="DT111" s="128"/>
      <c r="DU111" s="128"/>
      <c r="DV111" s="128"/>
      <c r="DW111" s="13"/>
      <c r="DX111" s="13"/>
      <c r="DY111" s="92"/>
      <c r="DZ111" s="83"/>
      <c r="EA111" s="13"/>
      <c r="EB111" s="13"/>
      <c r="EC111" s="13"/>
      <c r="ED111" s="13"/>
      <c r="EE111" s="13"/>
      <c r="EF111" s="13"/>
      <c r="EG111" s="13"/>
      <c r="EI111" s="152"/>
    </row>
    <row r="112" spans="1:139" x14ac:dyDescent="0.2">
      <c r="A112" s="7">
        <v>109</v>
      </c>
      <c r="B112" s="119" t="s">
        <v>432</v>
      </c>
      <c r="C112" s="9" t="s">
        <v>5</v>
      </c>
      <c r="D112" s="9" t="s">
        <v>37</v>
      </c>
      <c r="E112" s="10">
        <v>0</v>
      </c>
      <c r="F112" s="82">
        <v>0</v>
      </c>
      <c r="G112" s="9">
        <f t="shared" si="33"/>
        <v>1</v>
      </c>
      <c r="H112" s="93">
        <v>0</v>
      </c>
      <c r="I112" s="47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96"/>
      <c r="U112" s="297"/>
      <c r="V112" s="298"/>
      <c r="W112" s="11"/>
      <c r="X112" s="96"/>
      <c r="Y112" s="96"/>
      <c r="Z112" s="96"/>
      <c r="AA112" s="96"/>
      <c r="AB112" s="96"/>
      <c r="AC112" s="96"/>
      <c r="AD112" s="96"/>
      <c r="AE112" s="96"/>
      <c r="AF112" s="110"/>
      <c r="AG112" s="11"/>
      <c r="AH112" s="11"/>
      <c r="AI112" s="11"/>
      <c r="AJ112" s="11"/>
      <c r="AK112" s="11"/>
      <c r="AL112" s="11"/>
      <c r="AM112" s="11"/>
      <c r="AN112" s="250"/>
      <c r="AO112" s="251"/>
      <c r="AP112" s="11"/>
      <c r="AQ112" s="11"/>
      <c r="AR112" s="11"/>
      <c r="AS112" s="11"/>
      <c r="AT112" s="11"/>
      <c r="AU112" s="11"/>
      <c r="AV112" s="11"/>
      <c r="AW112" s="11">
        <f>(INDEX('Race 41'!$E$8:$E$200,(MATCH($B112,'Race 41'!$B$8:$B$200,0)),1))*100</f>
        <v>59.232048151741779</v>
      </c>
      <c r="AX112" s="11"/>
      <c r="AY112" s="11"/>
      <c r="AZ112" s="96"/>
      <c r="BA112" s="11"/>
      <c r="BB112" s="11"/>
      <c r="BC112" s="96"/>
      <c r="BD112" s="11"/>
      <c r="BE112" s="96"/>
      <c r="BF112" s="11"/>
      <c r="BG112" s="11"/>
      <c r="BH112" s="11"/>
      <c r="BI112" s="11"/>
      <c r="BJ112" s="11"/>
      <c r="BK112" s="11"/>
      <c r="BL112" s="11"/>
      <c r="BM112" s="11"/>
      <c r="BN112" s="96"/>
      <c r="BO112" s="11"/>
      <c r="BP112" s="11"/>
      <c r="BQ112" s="11"/>
      <c r="BR112" s="11"/>
      <c r="BS112" s="11"/>
      <c r="BT112" s="11"/>
      <c r="BU112" s="11"/>
      <c r="BV112" s="11"/>
      <c r="BW112" s="96"/>
      <c r="BX112" s="11"/>
      <c r="BY112" s="11"/>
      <c r="BZ112" s="11"/>
      <c r="CA112" s="11"/>
      <c r="CB112" s="11"/>
      <c r="CC112" s="11"/>
      <c r="CD112" s="11"/>
      <c r="CE112" s="11"/>
      <c r="CF112" s="11"/>
      <c r="CG112" s="96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20"/>
      <c r="CV112" s="11"/>
      <c r="CW112" s="20"/>
      <c r="CX112" s="96"/>
      <c r="CY112" s="96"/>
      <c r="CZ112" s="11"/>
      <c r="DA112" s="26">
        <f t="shared" si="34"/>
        <v>59.232048151741779</v>
      </c>
      <c r="DB112" s="53" t="str">
        <f t="shared" si="35"/>
        <v>Ritz, Leah</v>
      </c>
      <c r="DC112" s="68">
        <f t="shared" si="36"/>
        <v>1</v>
      </c>
      <c r="DD112" s="62">
        <v>66.367715995604314</v>
      </c>
      <c r="DE112" s="209">
        <f t="shared" si="37"/>
        <v>58.201874964863698</v>
      </c>
      <c r="DF112" s="115">
        <f t="shared" ref="DF112:DF124" si="42">COUNT(I112:X112)</f>
        <v>0</v>
      </c>
      <c r="DG112" s="4">
        <f t="shared" si="38"/>
        <v>0</v>
      </c>
      <c r="DH112" s="115">
        <f t="shared" si="39"/>
        <v>1</v>
      </c>
      <c r="DI112" s="115" t="str">
        <f t="shared" si="40"/>
        <v>CO</v>
      </c>
      <c r="DJ112" s="62">
        <f>IF(COUNT(I112:U112)&lt;5,DA112,SUMPRODUCT(LARGE(I112:U112,{1,2,3,4,5}))/5)</f>
        <v>59.232048151741779</v>
      </c>
      <c r="DK112" s="62">
        <f>IF(COUNT(I112:AN112)&lt;5,DA112,SUMPRODUCT(LARGE(I112:AN112,{1,2,3,4,5}))/5)</f>
        <v>59.232048151741779</v>
      </c>
      <c r="DL112" s="209">
        <f>IF(COUNT(J112:CZ112)&lt;5,AVERAGE(J112:CZ112),SUMPRODUCT(LARGE(J112:CZ112,{1,2,3,4,5}))/5)</f>
        <v>59.232048151741779</v>
      </c>
      <c r="DM112" s="62">
        <f t="shared" si="31"/>
        <v>58.201874964863698</v>
      </c>
      <c r="DN112" s="13" t="str">
        <f t="shared" si="41"/>
        <v>Ritz, Leah</v>
      </c>
      <c r="DO112" s="7"/>
      <c r="DP112" s="8"/>
      <c r="DQ112" s="9"/>
      <c r="DR112" s="9"/>
      <c r="DS112" s="121"/>
      <c r="DT112" s="128"/>
      <c r="DU112" s="128"/>
      <c r="DV112" s="128"/>
      <c r="DW112" s="13"/>
      <c r="DX112" s="13"/>
      <c r="DY112" s="92"/>
      <c r="DZ112" s="83"/>
      <c r="EA112" s="13"/>
      <c r="EB112" s="13"/>
      <c r="EC112" s="13"/>
      <c r="ED112" s="13"/>
      <c r="EE112" s="13"/>
      <c r="EF112" s="13"/>
      <c r="EG112" s="13"/>
      <c r="EI112" s="152"/>
    </row>
    <row r="113" spans="1:139" x14ac:dyDescent="0.2">
      <c r="A113" s="7">
        <v>110</v>
      </c>
      <c r="B113" s="119" t="s">
        <v>302</v>
      </c>
      <c r="C113" s="9" t="s">
        <v>5</v>
      </c>
      <c r="D113" s="9" t="s">
        <v>42</v>
      </c>
      <c r="E113" s="10">
        <v>36.252351526514943</v>
      </c>
      <c r="F113" s="82">
        <v>51.100788085215399</v>
      </c>
      <c r="G113" s="9">
        <f t="shared" si="33"/>
        <v>2</v>
      </c>
      <c r="H113" s="93">
        <v>36.252351526514943</v>
      </c>
      <c r="I113" s="46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96"/>
      <c r="U113" s="297"/>
      <c r="V113" s="298"/>
      <c r="W113" s="11"/>
      <c r="X113" s="96"/>
      <c r="Y113" s="96"/>
      <c r="Z113" s="96"/>
      <c r="AA113" s="96"/>
      <c r="AB113" s="96"/>
      <c r="AC113" s="96"/>
      <c r="AD113" s="96"/>
      <c r="AE113" s="96"/>
      <c r="AF113" s="110"/>
      <c r="AG113" s="11"/>
      <c r="AH113" s="11"/>
      <c r="AI113" s="11"/>
      <c r="AJ113" s="11"/>
      <c r="AK113" s="11"/>
      <c r="AL113" s="11"/>
      <c r="AM113" s="11">
        <f>(INDEX('Race 31'!$E$8:$E$200,(MATCH($B113,'Race 31'!$B$8:$B$200,0)),1))*100</f>
        <v>50.106958791920654</v>
      </c>
      <c r="AN113" s="250">
        <f>(INDEX('Race 32'!$E$8:$E$200,(MATCH($B113,'Race 32'!$B$8:$B$200,0)),1))*100</f>
        <v>52.094617378510144</v>
      </c>
      <c r="AO113" s="25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96"/>
      <c r="BA113" s="11"/>
      <c r="BB113" s="11"/>
      <c r="BC113" s="96"/>
      <c r="BD113" s="11"/>
      <c r="BE113" s="96"/>
      <c r="BF113" s="11"/>
      <c r="BG113" s="11"/>
      <c r="BH113" s="11"/>
      <c r="BI113" s="11"/>
      <c r="BJ113" s="11"/>
      <c r="BK113" s="11"/>
      <c r="BL113" s="11"/>
      <c r="BM113" s="11"/>
      <c r="BN113" s="96"/>
      <c r="BO113" s="11"/>
      <c r="BP113" s="11"/>
      <c r="BQ113" s="11"/>
      <c r="BR113" s="11"/>
      <c r="BS113" s="11"/>
      <c r="BT113" s="11"/>
      <c r="BU113" s="11"/>
      <c r="BV113" s="11"/>
      <c r="BW113" s="96"/>
      <c r="BX113" s="11"/>
      <c r="BY113" s="11"/>
      <c r="BZ113" s="11"/>
      <c r="CA113" s="11"/>
      <c r="CB113" s="11"/>
      <c r="CC113" s="11"/>
      <c r="CD113" s="11"/>
      <c r="CE113" s="11"/>
      <c r="CF113" s="11"/>
      <c r="CG113" s="96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20"/>
      <c r="CV113" s="11"/>
      <c r="CW113" s="20"/>
      <c r="CX113" s="96"/>
      <c r="CY113" s="96"/>
      <c r="CZ113" s="11"/>
      <c r="DA113" s="26">
        <f t="shared" si="34"/>
        <v>51.100788085215399</v>
      </c>
      <c r="DB113" s="53" t="str">
        <f t="shared" si="35"/>
        <v>Roberts, Lisa</v>
      </c>
      <c r="DC113" s="68">
        <f t="shared" si="36"/>
        <v>1</v>
      </c>
      <c r="DD113" s="62">
        <v>36.252351526514943</v>
      </c>
      <c r="DE113" s="209">
        <f t="shared" si="37"/>
        <v>50.212035064572468</v>
      </c>
      <c r="DF113" s="115">
        <f t="shared" si="42"/>
        <v>0</v>
      </c>
      <c r="DG113" s="4">
        <f t="shared" si="38"/>
        <v>2</v>
      </c>
      <c r="DH113" s="115">
        <f t="shared" si="39"/>
        <v>2</v>
      </c>
      <c r="DI113" s="115" t="str">
        <f t="shared" si="40"/>
        <v>OH</v>
      </c>
      <c r="DJ113" s="62">
        <f>IF(COUNT(I113:U113)&lt;5,DA113,SUMPRODUCT(LARGE(I113:U113,{1,2,3,4,5}))/5)</f>
        <v>51.100788085215399</v>
      </c>
      <c r="DK113" s="62">
        <f>IF(COUNT(I113:AN113)&lt;5,DA113,SUMPRODUCT(LARGE(I113:AN113,{1,2,3,4,5}))/5)</f>
        <v>51.100788085215399</v>
      </c>
      <c r="DL113" s="209">
        <f>IF(COUNT(J113:CZ113)&lt;5,AVERAGE(J113:CZ113),SUMPRODUCT(LARGE(J113:CZ113,{1,2,3,4,5}))/5)</f>
        <v>51.100788085215399</v>
      </c>
      <c r="DM113" s="62">
        <f t="shared" si="31"/>
        <v>50.212035064572468</v>
      </c>
      <c r="DN113" s="13" t="str">
        <f t="shared" si="41"/>
        <v>Roberts, Lisa</v>
      </c>
      <c r="DO113" s="7"/>
      <c r="DP113" s="8"/>
      <c r="DQ113" s="9"/>
      <c r="DR113" s="9"/>
      <c r="DS113" s="121"/>
      <c r="DT113" s="128"/>
      <c r="DU113" s="128"/>
      <c r="DV113" s="128"/>
      <c r="DW113" s="13"/>
      <c r="DX113" s="13"/>
      <c r="DY113" s="92"/>
      <c r="DZ113" s="83"/>
      <c r="EA113" s="13"/>
      <c r="EB113" s="13"/>
      <c r="EC113" s="13"/>
      <c r="ED113" s="13"/>
      <c r="EE113" s="13"/>
      <c r="EF113" s="13"/>
      <c r="EG113" s="13"/>
      <c r="EI113" s="152"/>
    </row>
    <row r="114" spans="1:139" x14ac:dyDescent="0.2">
      <c r="A114" s="7">
        <v>111</v>
      </c>
      <c r="B114" s="119" t="s">
        <v>407</v>
      </c>
      <c r="C114" s="9" t="s">
        <v>5</v>
      </c>
      <c r="D114" s="9" t="s">
        <v>31</v>
      </c>
      <c r="E114" s="10">
        <v>35.078876276813681</v>
      </c>
      <c r="F114" s="82">
        <v>44.837194393328573</v>
      </c>
      <c r="G114" s="9">
        <f t="shared" si="33"/>
        <v>2</v>
      </c>
      <c r="H114" s="93">
        <v>35.078876276813681</v>
      </c>
      <c r="I114" s="47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96"/>
      <c r="U114" s="297"/>
      <c r="V114" s="298"/>
      <c r="W114" s="11"/>
      <c r="X114" s="96"/>
      <c r="Y114" s="96"/>
      <c r="Z114" s="96"/>
      <c r="AA114" s="96"/>
      <c r="AB114" s="96"/>
      <c r="AC114" s="96"/>
      <c r="AD114" s="96"/>
      <c r="AE114" s="96"/>
      <c r="AF114" s="110"/>
      <c r="AG114" s="11"/>
      <c r="AH114" s="11"/>
      <c r="AI114" s="11"/>
      <c r="AJ114" s="11"/>
      <c r="AK114" s="11"/>
      <c r="AL114" s="11"/>
      <c r="AM114" s="11">
        <f>(INDEX('Race 31'!$E$8:$E$200,(MATCH($B114,'Race 31'!$B$8:$B$200,0)),1))*100</f>
        <v>44.158272578812095</v>
      </c>
      <c r="AN114" s="250">
        <f>(INDEX('Race 32'!$E$8:$E$200,(MATCH($B114,'Race 32'!$B$8:$B$200,0)),1))*100</f>
        <v>45.516116207845045</v>
      </c>
      <c r="AO114" s="25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96"/>
      <c r="BA114" s="11"/>
      <c r="BB114" s="11"/>
      <c r="BC114" s="96"/>
      <c r="BD114" s="11"/>
      <c r="BE114" s="96"/>
      <c r="BF114" s="11"/>
      <c r="BG114" s="11"/>
      <c r="BH114" s="11"/>
      <c r="BI114" s="11"/>
      <c r="BJ114" s="11"/>
      <c r="BK114" s="11"/>
      <c r="BL114" s="11"/>
      <c r="BM114" s="11"/>
      <c r="BN114" s="96"/>
      <c r="BO114" s="11"/>
      <c r="BP114" s="11"/>
      <c r="BQ114" s="11"/>
      <c r="BR114" s="11"/>
      <c r="BS114" s="11"/>
      <c r="BT114" s="11"/>
      <c r="BU114" s="11"/>
      <c r="BV114" s="11"/>
      <c r="BW114" s="96"/>
      <c r="BX114" s="11"/>
      <c r="BY114" s="11"/>
      <c r="BZ114" s="11"/>
      <c r="CA114" s="11"/>
      <c r="CB114" s="11"/>
      <c r="CC114" s="11"/>
      <c r="CD114" s="11"/>
      <c r="CE114" s="11"/>
      <c r="CF114" s="11"/>
      <c r="CG114" s="96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20"/>
      <c r="CV114" s="11"/>
      <c r="CW114" s="20"/>
      <c r="CX114" s="96"/>
      <c r="CY114" s="96"/>
      <c r="CZ114" s="11"/>
      <c r="DA114" s="26">
        <f t="shared" si="34"/>
        <v>44.837194393328573</v>
      </c>
      <c r="DB114" s="53" t="str">
        <f t="shared" si="35"/>
        <v>Rush, Kathryn</v>
      </c>
      <c r="DC114" s="68">
        <f t="shared" si="36"/>
        <v>1</v>
      </c>
      <c r="DD114" s="62">
        <v>35.078876276813681</v>
      </c>
      <c r="DE114" s="209">
        <f t="shared" si="37"/>
        <v>44.057378788767394</v>
      </c>
      <c r="DF114" s="115">
        <f t="shared" si="42"/>
        <v>0</v>
      </c>
      <c r="DG114" s="4">
        <f t="shared" si="38"/>
        <v>2</v>
      </c>
      <c r="DH114" s="115">
        <f t="shared" si="39"/>
        <v>2</v>
      </c>
      <c r="DI114" s="115" t="str">
        <f t="shared" si="40"/>
        <v>MN</v>
      </c>
      <c r="DJ114" s="62">
        <f>IF(COUNT(I114:U114)&lt;5,DA114,SUMPRODUCT(LARGE(I114:U114,{1,2,3,4,5}))/5)</f>
        <v>44.837194393328573</v>
      </c>
      <c r="DK114" s="62">
        <f>IF(COUNT(I114:AN114)&lt;5,DA114,SUMPRODUCT(LARGE(I114:AN114,{1,2,3,4,5}))/5)</f>
        <v>44.837194393328573</v>
      </c>
      <c r="DL114" s="209">
        <f>IF(COUNT(J114:CZ114)&lt;5,AVERAGE(J114:CZ114),SUMPRODUCT(LARGE(J114:CZ114,{1,2,3,4,5}))/5)</f>
        <v>44.837194393328573</v>
      </c>
      <c r="DM114" s="62">
        <f t="shared" si="31"/>
        <v>44.057378788767394</v>
      </c>
      <c r="DN114" s="13" t="str">
        <f t="shared" si="41"/>
        <v>Rush, Kathryn</v>
      </c>
      <c r="DO114" s="7">
        <v>80</v>
      </c>
      <c r="DP114" s="16"/>
      <c r="DQ114" s="9"/>
      <c r="DR114" s="9"/>
      <c r="DS114" s="139"/>
      <c r="DT114" s="15"/>
      <c r="DU114" s="128"/>
      <c r="DV114" s="128"/>
      <c r="DW114" s="13"/>
      <c r="DX114" s="13"/>
      <c r="DY114" s="92" t="s">
        <v>30</v>
      </c>
      <c r="DZ114" s="83">
        <v>3</v>
      </c>
      <c r="EA114" s="13"/>
      <c r="EB114" s="13"/>
      <c r="EC114" s="13"/>
      <c r="ED114" s="13"/>
      <c r="EE114" s="13"/>
      <c r="EF114" s="13"/>
      <c r="EG114" s="13"/>
      <c r="EI114" s="152"/>
    </row>
    <row r="115" spans="1:139" x14ac:dyDescent="0.2">
      <c r="A115" s="7">
        <v>112</v>
      </c>
      <c r="B115" s="119" t="s">
        <v>378</v>
      </c>
      <c r="C115" s="9" t="s">
        <v>5</v>
      </c>
      <c r="D115" s="9" t="s">
        <v>48</v>
      </c>
      <c r="E115" s="10">
        <v>47.194186026306028</v>
      </c>
      <c r="F115" s="82">
        <v>48.459351449912916</v>
      </c>
      <c r="G115" s="9">
        <f t="shared" si="33"/>
        <v>2</v>
      </c>
      <c r="H115" s="93">
        <v>0</v>
      </c>
      <c r="I115" s="46">
        <f>(INDEX('Race 1'!$E$8:$E$200,(MATCH($B115,'Race 1'!$B$8:$B$200,0)),1))*100</f>
        <v>47.194186026306028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96"/>
      <c r="U115" s="11"/>
      <c r="V115" s="11"/>
      <c r="W115" s="11"/>
      <c r="X115" s="96"/>
      <c r="Y115" s="96"/>
      <c r="Z115" s="11">
        <f>(INDEX('Race 18'!$E$8:$E$200,(MATCH($B115,'Race 18'!$B$8:$B$200,0)),1))*100</f>
        <v>49.724516873519804</v>
      </c>
      <c r="AA115" s="96"/>
      <c r="AB115" s="96"/>
      <c r="AC115" s="96"/>
      <c r="AD115" s="96"/>
      <c r="AE115" s="96"/>
      <c r="AF115" s="110"/>
      <c r="AG115" s="11"/>
      <c r="AH115" s="11"/>
      <c r="AI115" s="11"/>
      <c r="AJ115" s="11"/>
      <c r="AK115" s="11"/>
      <c r="AL115" s="11"/>
      <c r="AM115" s="11"/>
      <c r="AN115" s="250"/>
      <c r="AO115" s="25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96"/>
      <c r="BA115" s="11"/>
      <c r="BB115" s="11"/>
      <c r="BC115" s="96"/>
      <c r="BD115" s="11"/>
      <c r="BE115" s="96"/>
      <c r="BF115" s="11"/>
      <c r="BG115" s="11"/>
      <c r="BH115" s="11"/>
      <c r="BI115" s="11"/>
      <c r="BJ115" s="11"/>
      <c r="BK115" s="11"/>
      <c r="BL115" s="11"/>
      <c r="BM115" s="11"/>
      <c r="BN115" s="96"/>
      <c r="BO115" s="11"/>
      <c r="BP115" s="11"/>
      <c r="BQ115" s="11"/>
      <c r="BR115" s="11"/>
      <c r="BS115" s="11"/>
      <c r="BT115" s="11"/>
      <c r="BU115" s="11"/>
      <c r="BV115" s="11"/>
      <c r="BW115" s="96"/>
      <c r="BX115" s="11"/>
      <c r="BY115" s="11"/>
      <c r="BZ115" s="11"/>
      <c r="CA115" s="11"/>
      <c r="CB115" s="11"/>
      <c r="CC115" s="11"/>
      <c r="CD115" s="11"/>
      <c r="CE115" s="11"/>
      <c r="CF115" s="11"/>
      <c r="CG115" s="96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20"/>
      <c r="CV115" s="11"/>
      <c r="CW115" s="20"/>
      <c r="CX115" s="96"/>
      <c r="CY115" s="96"/>
      <c r="CZ115" s="11"/>
      <c r="DA115" s="26">
        <f t="shared" si="34"/>
        <v>48.459351449912916</v>
      </c>
      <c r="DB115" s="53" t="str">
        <f t="shared" si="35"/>
        <v>Schwensow, Terri-Ann</v>
      </c>
      <c r="DC115" s="68">
        <f t="shared" si="36"/>
        <v>1</v>
      </c>
      <c r="DD115" s="62">
        <v>35.078876276813681</v>
      </c>
      <c r="DE115" s="209">
        <f t="shared" si="37"/>
        <v>48.859700180328005</v>
      </c>
      <c r="DF115" s="115">
        <f t="shared" si="42"/>
        <v>1</v>
      </c>
      <c r="DG115" s="4">
        <f t="shared" si="38"/>
        <v>2</v>
      </c>
      <c r="DH115" s="115">
        <f t="shared" si="39"/>
        <v>2</v>
      </c>
      <c r="DI115" s="115" t="str">
        <f t="shared" si="40"/>
        <v>CA</v>
      </c>
      <c r="DJ115" s="62">
        <f>IF(COUNT(I115:U115)&lt;5,DA115,SUMPRODUCT(LARGE(I115:U115,{1,2,3,4,5}))/5)</f>
        <v>48.459351449912916</v>
      </c>
      <c r="DK115" s="62">
        <f>IF(COUNT(I115:AN115)&lt;5,DA115,SUMPRODUCT(LARGE(I115:AN115,{1,2,3,4,5}))/5)</f>
        <v>48.459351449912916</v>
      </c>
      <c r="DL115" s="209">
        <f>IF(COUNT(J115:CZ115)&lt;5,AVERAGE(J115:CZ115),SUMPRODUCT(LARGE(J115:CZ115,{1,2,3,4,5}))/5)</f>
        <v>49.724516873519804</v>
      </c>
      <c r="DM115" s="62">
        <f t="shared" si="31"/>
        <v>48.859700180328005</v>
      </c>
      <c r="DN115" s="13" t="str">
        <f t="shared" si="41"/>
        <v>Schwensow, Terri-Ann</v>
      </c>
      <c r="DO115" s="7">
        <v>81</v>
      </c>
      <c r="DP115" s="16"/>
      <c r="DQ115" s="9"/>
      <c r="DR115" s="9"/>
      <c r="DS115" s="121"/>
      <c r="DT115" s="128"/>
      <c r="DU115" s="128"/>
      <c r="DV115" s="128"/>
      <c r="DW115" s="13"/>
      <c r="DX115" s="13"/>
      <c r="DY115" s="92" t="s">
        <v>36</v>
      </c>
      <c r="DZ115" s="83">
        <v>1</v>
      </c>
      <c r="EA115" s="13"/>
      <c r="EB115" s="13"/>
      <c r="EC115" s="13"/>
      <c r="ED115" s="13"/>
      <c r="EE115" s="13"/>
      <c r="EF115" s="13"/>
      <c r="EG115" s="13"/>
      <c r="EI115" s="152"/>
    </row>
    <row r="116" spans="1:139" x14ac:dyDescent="0.2">
      <c r="A116" s="7">
        <v>113</v>
      </c>
      <c r="B116" s="119" t="s">
        <v>273</v>
      </c>
      <c r="C116" s="9" t="s">
        <v>5</v>
      </c>
      <c r="D116" s="9" t="s">
        <v>35</v>
      </c>
      <c r="E116" s="10">
        <v>58.767473719751187</v>
      </c>
      <c r="F116" s="82">
        <v>58.767473719751187</v>
      </c>
      <c r="G116" s="9">
        <f t="shared" si="33"/>
        <v>0</v>
      </c>
      <c r="H116" s="93">
        <v>58.767473719751187</v>
      </c>
      <c r="I116" s="46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96"/>
      <c r="U116" s="11"/>
      <c r="V116" s="11"/>
      <c r="W116" s="11"/>
      <c r="X116" s="96"/>
      <c r="Y116" s="96"/>
      <c r="Z116" s="96"/>
      <c r="AA116" s="96"/>
      <c r="AB116" s="96"/>
      <c r="AC116" s="96"/>
      <c r="AD116" s="96"/>
      <c r="AE116" s="96"/>
      <c r="AF116" s="110"/>
      <c r="AG116" s="11"/>
      <c r="AH116" s="11"/>
      <c r="AI116" s="11"/>
      <c r="AJ116" s="11"/>
      <c r="AK116" s="11"/>
      <c r="AL116" s="11"/>
      <c r="AM116" s="11"/>
      <c r="AN116" s="250"/>
      <c r="AO116" s="25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96"/>
      <c r="BA116" s="11"/>
      <c r="BB116" s="11"/>
      <c r="BC116" s="96"/>
      <c r="BD116" s="11"/>
      <c r="BE116" s="96"/>
      <c r="BF116" s="11"/>
      <c r="BG116" s="11"/>
      <c r="BH116" s="11"/>
      <c r="BI116" s="11"/>
      <c r="BJ116" s="11"/>
      <c r="BK116" s="11"/>
      <c r="BL116" s="11"/>
      <c r="BM116" s="11"/>
      <c r="BN116" s="96"/>
      <c r="BO116" s="11"/>
      <c r="BP116" s="11"/>
      <c r="BQ116" s="11"/>
      <c r="BR116" s="11"/>
      <c r="BS116" s="11"/>
      <c r="BT116" s="11"/>
      <c r="BU116" s="11"/>
      <c r="BV116" s="11"/>
      <c r="BW116" s="96"/>
      <c r="BX116" s="11"/>
      <c r="BY116" s="11"/>
      <c r="BZ116" s="11"/>
      <c r="CA116" s="11"/>
      <c r="CB116" s="11"/>
      <c r="CC116" s="11"/>
      <c r="CD116" s="11"/>
      <c r="CE116" s="11"/>
      <c r="CF116" s="11"/>
      <c r="CG116" s="96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20"/>
      <c r="CV116" s="11"/>
      <c r="CW116" s="20"/>
      <c r="CX116" s="96"/>
      <c r="CY116" s="96"/>
      <c r="CZ116" s="11"/>
      <c r="DA116" s="26">
        <f t="shared" si="34"/>
        <v>58.767473719751187</v>
      </c>
      <c r="DB116" s="42" t="str">
        <f t="shared" si="35"/>
        <v>SCORESBY, Rachel</v>
      </c>
      <c r="DC116" s="43">
        <f t="shared" si="36"/>
        <v>0</v>
      </c>
      <c r="DD116" s="62">
        <v>58.767473719751187</v>
      </c>
      <c r="DE116" s="62">
        <f t="shared" si="37"/>
        <v>0</v>
      </c>
      <c r="DF116" s="4">
        <f t="shared" si="42"/>
        <v>0</v>
      </c>
      <c r="DG116" s="4">
        <f t="shared" si="38"/>
        <v>0</v>
      </c>
      <c r="DH116" s="4">
        <f t="shared" si="39"/>
        <v>0</v>
      </c>
      <c r="DI116" s="4" t="str">
        <f t="shared" si="40"/>
        <v>WY</v>
      </c>
      <c r="DJ116" s="62">
        <f>IF(COUNT(I116:U116)&lt;5,DA116,SUMPRODUCT(LARGE(I116:U116,{1,2,3,4,5}))/5)</f>
        <v>58.767473719751187</v>
      </c>
      <c r="DK116" s="62">
        <f>IF(COUNT(I116:AN116)&lt;5,DA116,SUMPRODUCT(LARGE(I116:AN116,{1,2,3,4,5}))/5)</f>
        <v>58.767473719751187</v>
      </c>
      <c r="DL116" s="209">
        <f>IF(COUNT(J116:CZ116)=0,0,SUMPRODUCT(LARGE(J116:CZ116,{1,2,3,4,5}))/5)</f>
        <v>0</v>
      </c>
      <c r="DM116" s="62">
        <f t="shared" si="31"/>
        <v>0</v>
      </c>
      <c r="DN116" s="13" t="str">
        <f t="shared" si="41"/>
        <v>SCORESBY, Rachel</v>
      </c>
      <c r="DO116" s="7"/>
      <c r="DP116" s="16"/>
      <c r="DQ116" s="9"/>
      <c r="DR116" s="9"/>
      <c r="DS116" s="121"/>
      <c r="DT116" s="128"/>
      <c r="DU116" s="128"/>
      <c r="DV116" s="128"/>
      <c r="DW116" s="13"/>
      <c r="DX116" s="13"/>
      <c r="DY116" s="92"/>
      <c r="DZ116" s="83"/>
      <c r="EA116" s="13"/>
      <c r="EB116" s="13"/>
      <c r="EC116" s="13"/>
      <c r="ED116" s="13"/>
      <c r="EE116" s="13"/>
      <c r="EF116" s="13"/>
      <c r="EG116" s="13"/>
      <c r="EI116" s="152"/>
    </row>
    <row r="117" spans="1:139" x14ac:dyDescent="0.2">
      <c r="A117" s="7">
        <v>114</v>
      </c>
      <c r="B117" s="8" t="s">
        <v>415</v>
      </c>
      <c r="C117" s="9" t="s">
        <v>5</v>
      </c>
      <c r="D117" s="9" t="s">
        <v>41</v>
      </c>
      <c r="E117" s="10">
        <v>0</v>
      </c>
      <c r="F117" s="82">
        <v>40.995911293869725</v>
      </c>
      <c r="G117" s="9">
        <f t="shared" si="33"/>
        <v>2</v>
      </c>
      <c r="H117" s="93">
        <v>0</v>
      </c>
      <c r="I117" s="46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96"/>
      <c r="U117" s="11"/>
      <c r="V117" s="11"/>
      <c r="W117" s="11"/>
      <c r="X117" s="96"/>
      <c r="Y117" s="96"/>
      <c r="Z117" s="96"/>
      <c r="AA117" s="96"/>
      <c r="AB117" s="96"/>
      <c r="AC117" s="96"/>
      <c r="AD117" s="96"/>
      <c r="AE117" s="96"/>
      <c r="AF117" s="110"/>
      <c r="AG117" s="11"/>
      <c r="AH117" s="11"/>
      <c r="AI117" s="11"/>
      <c r="AJ117" s="11"/>
      <c r="AK117" s="11"/>
      <c r="AL117" s="11"/>
      <c r="AM117" s="11">
        <f>(INDEX('Race 31'!$E$8:$E$200,(MATCH($B117,'Race 31'!$B$8:$B$200,0)),1))*100</f>
        <v>40.957293206512986</v>
      </c>
      <c r="AN117" s="250">
        <f>(INDEX('Race 32'!$E$8:$E$200,(MATCH($B117,'Race 32'!$B$8:$B$200,0)),1))*100</f>
        <v>41.034529381226456</v>
      </c>
      <c r="AO117" s="25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96"/>
      <c r="BA117" s="11"/>
      <c r="BB117" s="11"/>
      <c r="BC117" s="96"/>
      <c r="BD117" s="11"/>
      <c r="BE117" s="96"/>
      <c r="BF117" s="11"/>
      <c r="BG117" s="11"/>
      <c r="BH117" s="11"/>
      <c r="BI117" s="11"/>
      <c r="BJ117" s="11"/>
      <c r="BK117" s="11"/>
      <c r="BL117" s="11"/>
      <c r="BM117" s="11"/>
      <c r="BN117" s="96"/>
      <c r="BO117" s="11"/>
      <c r="BP117" s="11"/>
      <c r="BQ117" s="11"/>
      <c r="BR117" s="11"/>
      <c r="BS117" s="11"/>
      <c r="BT117" s="11"/>
      <c r="BU117" s="11"/>
      <c r="BV117" s="11"/>
      <c r="BW117" s="96"/>
      <c r="BX117" s="11"/>
      <c r="BY117" s="11"/>
      <c r="BZ117" s="11"/>
      <c r="CA117" s="11"/>
      <c r="CB117" s="11"/>
      <c r="CC117" s="11"/>
      <c r="CD117" s="11"/>
      <c r="CE117" s="11"/>
      <c r="CF117" s="11"/>
      <c r="CG117" s="96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20"/>
      <c r="CV117" s="11"/>
      <c r="CW117" s="20"/>
      <c r="CX117" s="96"/>
      <c r="CY117" s="96"/>
      <c r="CZ117" s="11"/>
      <c r="DA117" s="26">
        <f t="shared" si="34"/>
        <v>40.995911293869725</v>
      </c>
      <c r="DB117" s="53" t="str">
        <f t="shared" si="35"/>
        <v>Scoville, Nicole</v>
      </c>
      <c r="DC117" s="68">
        <f t="shared" si="36"/>
        <v>1</v>
      </c>
      <c r="DD117" s="62">
        <v>66.367715995604314</v>
      </c>
      <c r="DE117" s="209">
        <f t="shared" si="37"/>
        <v>40.282903894929468</v>
      </c>
      <c r="DF117" s="115">
        <f t="shared" si="42"/>
        <v>0</v>
      </c>
      <c r="DG117" s="4">
        <f t="shared" si="38"/>
        <v>2</v>
      </c>
      <c r="DH117" s="115">
        <f t="shared" si="39"/>
        <v>2</v>
      </c>
      <c r="DI117" s="115" t="str">
        <f t="shared" si="40"/>
        <v>MT</v>
      </c>
      <c r="DJ117" s="62">
        <f>IF(COUNT(I117:U117)&lt;5,DA117,SUMPRODUCT(LARGE(I117:U117,{1,2,3,4,5}))/5)</f>
        <v>40.995911293869725</v>
      </c>
      <c r="DK117" s="62">
        <f>IF(COUNT(I117:AN117)&lt;5,DA117,SUMPRODUCT(LARGE(I117:AN117,{1,2,3,4,5}))/5)</f>
        <v>40.995911293869725</v>
      </c>
      <c r="DL117" s="209">
        <f>IF(COUNT(J117:CZ117)&lt;5,AVERAGE(J117:CZ117),SUMPRODUCT(LARGE(J117:CZ117,{1,2,3,4,5}))/5)</f>
        <v>40.995911293869725</v>
      </c>
      <c r="DM117" s="62">
        <f t="shared" si="31"/>
        <v>40.282903894929468</v>
      </c>
      <c r="DN117" s="13" t="str">
        <f t="shared" si="41"/>
        <v>Scoville, Nicole</v>
      </c>
      <c r="DO117" s="7"/>
      <c r="DP117" s="16"/>
      <c r="DQ117" s="9"/>
      <c r="DR117" s="9"/>
      <c r="DS117" s="121"/>
      <c r="DT117" s="128"/>
      <c r="DU117" s="128"/>
      <c r="DV117" s="128"/>
      <c r="DW117" s="13"/>
      <c r="DX117" s="13"/>
      <c r="DY117" s="92"/>
      <c r="DZ117" s="83"/>
      <c r="EA117" s="13"/>
      <c r="EB117" s="13"/>
      <c r="EC117" s="13"/>
      <c r="ED117" s="13"/>
      <c r="EE117" s="13"/>
      <c r="EF117" s="13"/>
      <c r="EG117" s="13"/>
      <c r="EI117" s="152"/>
    </row>
    <row r="118" spans="1:139" x14ac:dyDescent="0.2">
      <c r="A118" s="7">
        <v>115</v>
      </c>
      <c r="B118" s="189" t="s">
        <v>95</v>
      </c>
      <c r="C118" s="19" t="s">
        <v>5</v>
      </c>
      <c r="D118" s="19" t="s">
        <v>41</v>
      </c>
      <c r="E118" s="10">
        <v>50.70676238380927</v>
      </c>
      <c r="F118" s="82">
        <v>50.70676238380927</v>
      </c>
      <c r="G118" s="9">
        <f t="shared" si="33"/>
        <v>2</v>
      </c>
      <c r="H118" s="93">
        <v>49.05459135796616</v>
      </c>
      <c r="I118" s="46"/>
      <c r="J118" s="11"/>
      <c r="K118" s="11"/>
      <c r="L118" s="11"/>
      <c r="M118" s="11">
        <f>(INDEX('Race 5'!$E$8:$E$200,(MATCH($B118,'Race 5'!$B$8:$B$200,0)),1))*100</f>
        <v>50.70676238380927</v>
      </c>
      <c r="N118" s="11"/>
      <c r="O118" s="11"/>
      <c r="P118" s="11"/>
      <c r="Q118" s="11"/>
      <c r="R118" s="11"/>
      <c r="S118" s="96"/>
      <c r="T118" s="11"/>
      <c r="U118" s="96"/>
      <c r="V118" s="11"/>
      <c r="W118" s="96"/>
      <c r="X118" s="96"/>
      <c r="Y118" s="11"/>
      <c r="Z118" s="11"/>
      <c r="AA118" s="96"/>
      <c r="AB118" s="11"/>
      <c r="AC118" s="11"/>
      <c r="AD118" s="96"/>
      <c r="AE118" s="11"/>
      <c r="AF118" s="79"/>
      <c r="AG118" s="11"/>
      <c r="AH118" s="11"/>
      <c r="AI118" s="11"/>
      <c r="AJ118" s="11"/>
      <c r="AK118" s="11"/>
      <c r="AL118" s="11"/>
      <c r="AM118" s="11"/>
      <c r="AN118" s="250"/>
      <c r="AO118" s="251"/>
      <c r="AP118" s="11"/>
      <c r="AQ118" s="11"/>
      <c r="AR118" s="11"/>
      <c r="AS118" s="11"/>
      <c r="AT118" s="11"/>
      <c r="AU118" s="11"/>
      <c r="AV118" s="11"/>
      <c r="AW118" s="11">
        <f>(INDEX('Race 41'!$E$8:$E$200,(MATCH($B118,'Race 41'!$B$8:$B$200,0)),1))*100</f>
        <v>58.633194723737034</v>
      </c>
      <c r="AX118" s="11"/>
      <c r="AY118" s="96"/>
      <c r="AZ118" s="96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96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96"/>
      <c r="CL118" s="11"/>
      <c r="CM118" s="11"/>
      <c r="CN118" s="11"/>
      <c r="CO118" s="11"/>
      <c r="CP118" s="11"/>
      <c r="CQ118" s="11"/>
      <c r="CR118" s="11"/>
      <c r="CS118" s="11"/>
      <c r="CT118" s="11"/>
      <c r="CU118" s="20"/>
      <c r="CV118" s="11"/>
      <c r="CW118" s="20"/>
      <c r="CX118" s="11"/>
      <c r="CY118" s="11"/>
      <c r="CZ118" s="11"/>
      <c r="DA118" s="26">
        <f t="shared" si="34"/>
        <v>54.669978553773149</v>
      </c>
      <c r="DB118" s="42" t="str">
        <f t="shared" si="35"/>
        <v>SHEPPARD, SJ</v>
      </c>
      <c r="DC118" s="43">
        <f t="shared" si="36"/>
        <v>1</v>
      </c>
      <c r="DD118" s="62">
        <v>49.05459135796616</v>
      </c>
      <c r="DE118" s="62">
        <f t="shared" si="37"/>
        <v>53.719149605751348</v>
      </c>
      <c r="DF118" s="4">
        <f t="shared" si="42"/>
        <v>1</v>
      </c>
      <c r="DG118" s="4">
        <f t="shared" si="38"/>
        <v>1</v>
      </c>
      <c r="DH118" s="4">
        <f t="shared" si="39"/>
        <v>2</v>
      </c>
      <c r="DI118" s="4" t="str">
        <f t="shared" si="40"/>
        <v>MT</v>
      </c>
      <c r="DJ118" s="62">
        <f>IF(COUNT(I118:U118)&lt;5,DA118,SUMPRODUCT(LARGE(I118:U118,{1,2,3,4,5}))/5)</f>
        <v>54.669978553773149</v>
      </c>
      <c r="DK118" s="62">
        <f>IF(COUNT(I118:AN118)&lt;5,DA118,SUMPRODUCT(LARGE(I118:AN118,{1,2,3,4,5}))/5)</f>
        <v>54.669978553773149</v>
      </c>
      <c r="DL118" s="62">
        <f>IF(COUNT(J118:CZ118)&lt;5,AVERAGE(J118:CZ118),SUMPRODUCT(LARGE(J118:CZ118,{1,2,3,4,5}))/5)</f>
        <v>54.669978553773149</v>
      </c>
      <c r="DM118" s="62">
        <f t="shared" si="31"/>
        <v>53.719149605751348</v>
      </c>
      <c r="DN118" s="13" t="str">
        <f t="shared" si="41"/>
        <v>SHEPPARD, SJ</v>
      </c>
      <c r="DO118" s="7"/>
      <c r="DP118" s="16"/>
      <c r="DQ118" s="9"/>
      <c r="DR118" s="9"/>
      <c r="DS118" s="121"/>
      <c r="DT118" s="128"/>
      <c r="DU118" s="128"/>
      <c r="DV118" s="128"/>
      <c r="DW118" s="13"/>
      <c r="DX118" s="13"/>
      <c r="DY118" s="92"/>
      <c r="DZ118" s="83"/>
      <c r="EA118" s="13"/>
      <c r="EB118" s="13"/>
      <c r="EC118" s="13"/>
      <c r="ED118" s="13"/>
      <c r="EE118" s="13"/>
      <c r="EF118" s="13"/>
      <c r="EG118" s="13"/>
      <c r="EI118" s="152"/>
    </row>
    <row r="119" spans="1:139" x14ac:dyDescent="0.2">
      <c r="A119" s="7">
        <v>116</v>
      </c>
      <c r="B119" s="8" t="s">
        <v>443</v>
      </c>
      <c r="C119" s="9" t="s">
        <v>5</v>
      </c>
      <c r="D119" s="9" t="s">
        <v>37</v>
      </c>
      <c r="E119" s="10">
        <v>0</v>
      </c>
      <c r="F119" s="82">
        <v>0</v>
      </c>
      <c r="G119" s="9">
        <f t="shared" si="33"/>
        <v>1</v>
      </c>
      <c r="H119" s="93">
        <v>0</v>
      </c>
      <c r="I119" s="46"/>
      <c r="J119" s="11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109"/>
      <c r="AE119" s="96"/>
      <c r="AF119" s="110"/>
      <c r="AG119" s="96"/>
      <c r="AH119" s="96"/>
      <c r="AI119" s="96"/>
      <c r="AJ119" s="96"/>
      <c r="AK119" s="96"/>
      <c r="AL119" s="96"/>
      <c r="AM119" s="96"/>
      <c r="AN119" s="252"/>
      <c r="AO119" s="251"/>
      <c r="AP119" s="96"/>
      <c r="AQ119" s="96"/>
      <c r="AR119" s="96"/>
      <c r="AS119" s="11"/>
      <c r="AT119" s="96"/>
      <c r="AU119" s="11"/>
      <c r="AV119" s="96"/>
      <c r="AW119" s="11"/>
      <c r="AX119" s="11">
        <f>(INDEX('Race 42'!$E$8:$E$200,(MATCH($B119,'Race 42'!$B$8:$B$200,0)),1))*100</f>
        <v>39.667860129949517</v>
      </c>
      <c r="AY119" s="96"/>
      <c r="AZ119" s="11"/>
      <c r="BA119" s="11"/>
      <c r="BB119" s="11"/>
      <c r="BC119" s="11"/>
      <c r="BD119" s="96"/>
      <c r="BE119" s="11"/>
      <c r="BF119" s="96"/>
      <c r="BG119" s="96"/>
      <c r="BH119" s="96"/>
      <c r="BI119" s="96"/>
      <c r="BJ119" s="96"/>
      <c r="BK119" s="96"/>
      <c r="BL119" s="11"/>
      <c r="BM119" s="11"/>
      <c r="BN119" s="96"/>
      <c r="BO119" s="96"/>
      <c r="BP119" s="96"/>
      <c r="BQ119" s="96"/>
      <c r="BR119" s="96"/>
      <c r="BS119" s="11"/>
      <c r="BT119" s="11"/>
      <c r="BU119" s="11"/>
      <c r="BV119" s="11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112"/>
      <c r="CV119" s="96"/>
      <c r="CW119" s="112"/>
      <c r="CX119" s="96"/>
      <c r="CY119" s="96"/>
      <c r="CZ119" s="96"/>
      <c r="DA119" s="26">
        <f t="shared" si="34"/>
        <v>39.667860129949517</v>
      </c>
      <c r="DB119" s="53" t="str">
        <f t="shared" si="35"/>
        <v>Skiba, Heidi</v>
      </c>
      <c r="DC119" s="68">
        <f t="shared" si="36"/>
        <v>1</v>
      </c>
      <c r="DD119" s="62">
        <v>66.367715995604314</v>
      </c>
      <c r="DE119" s="209">
        <f t="shared" si="37"/>
        <v>38.977950407732649</v>
      </c>
      <c r="DF119" s="115">
        <f t="shared" si="42"/>
        <v>0</v>
      </c>
      <c r="DG119" s="4">
        <f t="shared" si="38"/>
        <v>0</v>
      </c>
      <c r="DH119" s="115">
        <f t="shared" si="39"/>
        <v>1</v>
      </c>
      <c r="DI119" s="115" t="str">
        <f t="shared" si="40"/>
        <v>CO</v>
      </c>
      <c r="DJ119" s="62">
        <f>IF(COUNT(I119:U119)&lt;5,DA119,SUMPRODUCT(LARGE(I119:U119,{1,2,3,4,5}))/5)</f>
        <v>39.667860129949517</v>
      </c>
      <c r="DK119" s="62">
        <f>IF(COUNT(I119:AN119)&lt;5,DA119,SUMPRODUCT(LARGE(I119:AN119,{1,2,3,4,5}))/5)</f>
        <v>39.667860129949517</v>
      </c>
      <c r="DL119" s="209">
        <f>IF(COUNT(J119:CZ119)&lt;5,AVERAGE(J119:CZ119),SUMPRODUCT(LARGE(J119:CZ119,{1,2,3,4,5}))/5)</f>
        <v>39.667860129949517</v>
      </c>
      <c r="DM119" s="62">
        <f t="shared" si="31"/>
        <v>38.977950407732649</v>
      </c>
      <c r="DN119" s="13" t="str">
        <f t="shared" si="41"/>
        <v>Skiba, Heidi</v>
      </c>
      <c r="DO119" s="7"/>
      <c r="DP119" s="16"/>
      <c r="DQ119" s="9"/>
      <c r="DR119" s="9"/>
      <c r="DS119" s="121"/>
      <c r="DT119" s="128"/>
      <c r="DU119" s="128"/>
      <c r="DV119" s="128"/>
      <c r="DW119" s="13"/>
      <c r="DX119" s="13"/>
      <c r="DY119" s="92"/>
      <c r="DZ119" s="83"/>
      <c r="EA119" s="13"/>
      <c r="EB119" s="13"/>
      <c r="EC119" s="13"/>
      <c r="ED119" s="13"/>
      <c r="EE119" s="13"/>
      <c r="EF119" s="13"/>
      <c r="EG119" s="13"/>
      <c r="EI119" s="152"/>
    </row>
    <row r="120" spans="1:139" x14ac:dyDescent="0.2">
      <c r="A120" s="7">
        <v>117</v>
      </c>
      <c r="B120" s="119" t="s">
        <v>332</v>
      </c>
      <c r="C120" s="9" t="s">
        <v>5</v>
      </c>
      <c r="D120" s="9" t="s">
        <v>43</v>
      </c>
      <c r="E120" s="10">
        <v>43.882962061927408</v>
      </c>
      <c r="F120" s="82">
        <v>43.882962061927408</v>
      </c>
      <c r="G120" s="9">
        <f t="shared" si="33"/>
        <v>2</v>
      </c>
      <c r="H120" s="93">
        <v>0</v>
      </c>
      <c r="I120" s="47">
        <f>(INDEX('Race 1'!$E$8:$E$200,(MATCH($B120,'Race 1'!$B$8:$B$200,0)),1))*100</f>
        <v>43.882962061927408</v>
      </c>
      <c r="J120" s="94"/>
      <c r="K120" s="20"/>
      <c r="L120" s="20"/>
      <c r="M120" s="20"/>
      <c r="N120" s="20"/>
      <c r="O120" s="20"/>
      <c r="P120" s="20"/>
      <c r="Q120" s="20"/>
      <c r="R120" s="20"/>
      <c r="S120" s="20"/>
      <c r="T120" s="96"/>
      <c r="U120" s="20"/>
      <c r="V120" s="11"/>
      <c r="W120" s="20"/>
      <c r="X120" s="96"/>
      <c r="Y120" s="96"/>
      <c r="Z120" s="96"/>
      <c r="AA120" s="96"/>
      <c r="AB120" s="96"/>
      <c r="AC120" s="96"/>
      <c r="AD120" s="96"/>
      <c r="AE120" s="110"/>
      <c r="AF120" s="110"/>
      <c r="AG120" s="20"/>
      <c r="AH120" s="11"/>
      <c r="AI120" s="20"/>
      <c r="AJ120" s="20"/>
      <c r="AK120" s="20"/>
      <c r="AL120" s="20"/>
      <c r="AM120" s="20"/>
      <c r="AN120" s="250"/>
      <c r="AO120" s="251"/>
      <c r="AP120" s="20"/>
      <c r="AQ120" s="20"/>
      <c r="AR120" s="20"/>
      <c r="AS120" s="20"/>
      <c r="AT120" s="20"/>
      <c r="AU120" s="20"/>
      <c r="AV120" s="20"/>
      <c r="AW120" s="11"/>
      <c r="AX120" s="11"/>
      <c r="AY120" s="20"/>
      <c r="AZ120" s="96"/>
      <c r="BA120" s="11"/>
      <c r="BB120" s="11"/>
      <c r="BC120" s="96"/>
      <c r="BD120" s="20"/>
      <c r="BE120" s="96"/>
      <c r="BF120" s="20"/>
      <c r="BG120" s="20"/>
      <c r="BH120" s="20"/>
      <c r="BI120" s="20"/>
      <c r="BJ120" s="20"/>
      <c r="BK120" s="20"/>
      <c r="BL120" s="11"/>
      <c r="BM120" s="11"/>
      <c r="BN120" s="11">
        <f>(INDEX('Race 58'!$E$8:$E$200,(MATCH($B120,'Race 58'!$B$8:$B$200,0)),1))*100</f>
        <v>43.210710669926122</v>
      </c>
      <c r="BO120" s="20"/>
      <c r="BP120" s="20"/>
      <c r="BQ120" s="20"/>
      <c r="BR120" s="20"/>
      <c r="BS120" s="11"/>
      <c r="BT120" s="11"/>
      <c r="BU120" s="11"/>
      <c r="BV120" s="11"/>
      <c r="BW120" s="112"/>
      <c r="BX120" s="11"/>
      <c r="BY120" s="20"/>
      <c r="BZ120" s="20"/>
      <c r="CA120" s="20"/>
      <c r="CB120" s="20"/>
      <c r="CC120" s="20"/>
      <c r="CD120" s="20"/>
      <c r="CE120" s="20"/>
      <c r="CF120" s="20"/>
      <c r="CG120" s="96"/>
      <c r="CH120" s="20"/>
      <c r="CI120" s="20"/>
      <c r="CJ120" s="20"/>
      <c r="CK120" s="20"/>
      <c r="CL120" s="20"/>
      <c r="CM120" s="20"/>
      <c r="CN120" s="11"/>
      <c r="CO120" s="20"/>
      <c r="CP120" s="20"/>
      <c r="CQ120" s="20"/>
      <c r="CR120" s="20"/>
      <c r="CS120" s="20"/>
      <c r="CT120" s="20"/>
      <c r="CU120" s="20"/>
      <c r="CV120" s="20"/>
      <c r="CW120" s="20"/>
      <c r="CX120" s="96"/>
      <c r="CY120" s="112"/>
      <c r="CZ120" s="20"/>
      <c r="DA120" s="26">
        <f t="shared" si="34"/>
        <v>43.546836365926765</v>
      </c>
      <c r="DB120" s="53" t="str">
        <f t="shared" si="35"/>
        <v>SLUDER, Laura</v>
      </c>
      <c r="DC120" s="68">
        <f t="shared" si="36"/>
        <v>1</v>
      </c>
      <c r="DD120" s="62">
        <v>35.078876276813681</v>
      </c>
      <c r="DE120" s="209">
        <f t="shared" si="37"/>
        <v>42.459183128550777</v>
      </c>
      <c r="DF120" s="115">
        <f t="shared" si="42"/>
        <v>1</v>
      </c>
      <c r="DG120" s="4">
        <f t="shared" si="38"/>
        <v>1</v>
      </c>
      <c r="DH120" s="115">
        <f t="shared" si="39"/>
        <v>2</v>
      </c>
      <c r="DI120" s="115" t="str">
        <f t="shared" si="40"/>
        <v>UT</v>
      </c>
      <c r="DJ120" s="62">
        <f>IF(COUNT(I120:U120)&lt;5,DA120,SUMPRODUCT(LARGE(I120:U120,{1,2,3,4,5}))/5)</f>
        <v>43.546836365926765</v>
      </c>
      <c r="DK120" s="62">
        <f>IF(COUNT(I120:AN120)&lt;5,DA120,SUMPRODUCT(LARGE(I120:AN120,{1,2,3,4,5}))/5)</f>
        <v>43.546836365926765</v>
      </c>
      <c r="DL120" s="209">
        <f>IF(COUNT(J120:CZ120)&lt;5,AVERAGE(J120:CZ120),SUMPRODUCT(LARGE(J120:CZ120,{1,2,3,4,5}))/5)</f>
        <v>43.210710669926122</v>
      </c>
      <c r="DM120" s="62">
        <f t="shared" si="31"/>
        <v>42.459183128550777</v>
      </c>
      <c r="DN120" s="13" t="str">
        <f t="shared" si="41"/>
        <v>SLUDER, Laura</v>
      </c>
      <c r="DO120" s="7"/>
      <c r="DP120" s="16"/>
      <c r="DQ120" s="9"/>
      <c r="DR120" s="9"/>
      <c r="DS120" s="121"/>
      <c r="DT120" s="128"/>
      <c r="DU120" s="128"/>
      <c r="DV120" s="128"/>
      <c r="DW120" s="13"/>
      <c r="DX120" s="13"/>
      <c r="DY120" s="92"/>
      <c r="DZ120" s="83"/>
      <c r="EA120" s="13"/>
      <c r="EB120" s="13"/>
      <c r="EC120" s="13"/>
      <c r="ED120" s="13"/>
      <c r="EE120" s="13"/>
      <c r="EF120" s="13"/>
      <c r="EG120" s="13"/>
      <c r="EI120" s="152"/>
    </row>
    <row r="121" spans="1:139" x14ac:dyDescent="0.2">
      <c r="A121" s="7">
        <v>118</v>
      </c>
      <c r="B121" s="16" t="s">
        <v>473</v>
      </c>
      <c r="C121" s="9" t="s">
        <v>5</v>
      </c>
      <c r="D121" s="9" t="s">
        <v>49</v>
      </c>
      <c r="E121" s="10">
        <v>0</v>
      </c>
      <c r="F121" s="82">
        <v>0</v>
      </c>
      <c r="G121" s="9">
        <f t="shared" si="33"/>
        <v>2</v>
      </c>
      <c r="H121" s="93">
        <v>0</v>
      </c>
      <c r="I121" s="46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96"/>
      <c r="U121" s="11"/>
      <c r="V121" s="11"/>
      <c r="W121" s="11"/>
      <c r="X121" s="96"/>
      <c r="Y121" s="96"/>
      <c r="Z121" s="96"/>
      <c r="AA121" s="96"/>
      <c r="AB121" s="96"/>
      <c r="AC121" s="96"/>
      <c r="AD121" s="96"/>
      <c r="AE121" s="96"/>
      <c r="AF121" s="110"/>
      <c r="AG121" s="11"/>
      <c r="AH121" s="11"/>
      <c r="AI121" s="11"/>
      <c r="AJ121" s="11"/>
      <c r="AK121" s="96"/>
      <c r="AL121" s="11"/>
      <c r="AM121" s="96"/>
      <c r="AN121" s="250"/>
      <c r="AO121" s="251"/>
      <c r="AP121" s="96"/>
      <c r="AQ121" s="11"/>
      <c r="AR121" s="96"/>
      <c r="AS121" s="11"/>
      <c r="AT121" s="96"/>
      <c r="AU121" s="11"/>
      <c r="AV121" s="11"/>
      <c r="AW121" s="11"/>
      <c r="AX121" s="11"/>
      <c r="AY121" s="11"/>
      <c r="AZ121" s="96"/>
      <c r="BA121" s="11"/>
      <c r="BB121" s="11"/>
      <c r="BC121" s="96"/>
      <c r="BD121" s="11"/>
      <c r="BE121" s="96"/>
      <c r="BF121" s="11"/>
      <c r="BG121" s="11"/>
      <c r="BH121" s="11">
        <f>(INDEX('Race 52'!$E$8:$E$200,(MATCH($B121,'Race 52'!$B$8:$B$200,0)),1))*100</f>
        <v>44.702898265046663</v>
      </c>
      <c r="BI121" s="11">
        <f>(INDEX('Race 53'!$E$8:$E$200,(MATCH($B121,'Race 53'!$B$8:$B$200,0)),1))*100</f>
        <v>45.073719481966329</v>
      </c>
      <c r="BJ121" s="11"/>
      <c r="BK121" s="11"/>
      <c r="BL121" s="11"/>
      <c r="BM121" s="11"/>
      <c r="BN121" s="96"/>
      <c r="BO121" s="11"/>
      <c r="BP121" s="11"/>
      <c r="BQ121" s="11"/>
      <c r="BR121" s="11"/>
      <c r="BS121" s="11"/>
      <c r="BT121" s="11"/>
      <c r="BU121" s="11"/>
      <c r="BV121" s="11"/>
      <c r="BW121" s="96"/>
      <c r="BX121" s="11"/>
      <c r="BY121" s="11"/>
      <c r="BZ121" s="11"/>
      <c r="CA121" s="11"/>
      <c r="CB121" s="11"/>
      <c r="CC121" s="11"/>
      <c r="CD121" s="11"/>
      <c r="CE121" s="11"/>
      <c r="CF121" s="11"/>
      <c r="CG121" s="96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20"/>
      <c r="CV121" s="11"/>
      <c r="CW121" s="20"/>
      <c r="CX121" s="96"/>
      <c r="CY121" s="96"/>
      <c r="CZ121" s="11"/>
      <c r="DA121" s="26">
        <f t="shared" si="34"/>
        <v>44.888308873506496</v>
      </c>
      <c r="DB121" s="53" t="str">
        <f t="shared" si="35"/>
        <v>SMITH, CHRISTINE</v>
      </c>
      <c r="DC121" s="68">
        <f t="shared" si="36"/>
        <v>1</v>
      </c>
      <c r="DD121" s="62">
        <v>0</v>
      </c>
      <c r="DE121" s="209">
        <f t="shared" si="37"/>
        <v>44.107604277789619</v>
      </c>
      <c r="DF121" s="115">
        <f t="shared" si="42"/>
        <v>0</v>
      </c>
      <c r="DG121" s="4">
        <f t="shared" si="38"/>
        <v>0</v>
      </c>
      <c r="DH121" s="115">
        <f t="shared" si="39"/>
        <v>2</v>
      </c>
      <c r="DI121" s="115" t="str">
        <f t="shared" si="40"/>
        <v>ID</v>
      </c>
      <c r="DJ121" s="62">
        <f>IF(COUNT(I121:U121)&lt;5,DA121,SUMPRODUCT(LARGE(I121:U121,{1,2,3,4,5}))/5)</f>
        <v>44.888308873506496</v>
      </c>
      <c r="DK121" s="62">
        <f>IF(COUNT(I121:AN121)&lt;5,DA121,SUMPRODUCT(LARGE(I121:AN121,{1,2,3,4,5}))/5)</f>
        <v>44.888308873506496</v>
      </c>
      <c r="DL121" s="209">
        <f>IF(COUNT(J121:CZ121)&lt;5,AVERAGE(J121:CZ121),SUMPRODUCT(LARGE(J121:CZ121,{1,2,3,4,5}))/5)</f>
        <v>44.888308873506496</v>
      </c>
      <c r="DM121" s="62">
        <f t="shared" si="31"/>
        <v>44.107604277789619</v>
      </c>
      <c r="DN121" s="13" t="str">
        <f t="shared" si="41"/>
        <v>SMITH, CHRISTINE</v>
      </c>
      <c r="DO121" s="7"/>
      <c r="DP121" s="16"/>
      <c r="DQ121" s="9"/>
      <c r="DR121" s="9"/>
      <c r="DS121" s="121"/>
      <c r="DT121" s="128"/>
      <c r="DU121" s="128"/>
      <c r="DV121" s="128"/>
      <c r="DW121" s="13"/>
      <c r="DX121" s="13"/>
      <c r="DY121" s="92"/>
      <c r="DZ121" s="83"/>
      <c r="EA121" s="13"/>
      <c r="EB121" s="13"/>
      <c r="EC121" s="13"/>
      <c r="ED121" s="13"/>
      <c r="EE121" s="13"/>
      <c r="EF121" s="13"/>
      <c r="EG121" s="13"/>
      <c r="EI121" s="152"/>
    </row>
    <row r="122" spans="1:139" x14ac:dyDescent="0.2">
      <c r="A122" s="7">
        <v>119</v>
      </c>
      <c r="B122" s="8" t="s">
        <v>438</v>
      </c>
      <c r="C122" s="9" t="s">
        <v>5</v>
      </c>
      <c r="D122" s="9" t="s">
        <v>37</v>
      </c>
      <c r="E122" s="10">
        <v>0</v>
      </c>
      <c r="F122" s="82">
        <v>0</v>
      </c>
      <c r="G122" s="9">
        <f t="shared" si="33"/>
        <v>2</v>
      </c>
      <c r="H122" s="93">
        <v>0</v>
      </c>
      <c r="I122" s="46"/>
      <c r="J122" s="11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110"/>
      <c r="AG122" s="96"/>
      <c r="AH122" s="96"/>
      <c r="AI122" s="96"/>
      <c r="AJ122" s="96"/>
      <c r="AK122" s="96"/>
      <c r="AL122" s="96"/>
      <c r="AM122" s="96"/>
      <c r="AN122" s="252"/>
      <c r="AO122" s="251"/>
      <c r="AP122" s="96"/>
      <c r="AQ122" s="96"/>
      <c r="AR122" s="96"/>
      <c r="AS122" s="96"/>
      <c r="AT122" s="96"/>
      <c r="AU122" s="96"/>
      <c r="AV122" s="96"/>
      <c r="AW122" s="11">
        <f>(INDEX('Race 41'!$E$8:$E$200,(MATCH($B122,'Race 41'!$B$8:$B$200,0)),1))*100</f>
        <v>53.675150071035674</v>
      </c>
      <c r="AX122" s="11">
        <f>(INDEX('Race 42'!$E$8:$E$200,(MATCH($B122,'Race 42'!$B$8:$B$200,0)),1))*100</f>
        <v>56.054798350350069</v>
      </c>
      <c r="AY122" s="96"/>
      <c r="AZ122" s="96"/>
      <c r="BA122" s="11"/>
      <c r="BB122" s="11"/>
      <c r="BC122" s="96"/>
      <c r="BD122" s="96"/>
      <c r="BE122" s="96"/>
      <c r="BF122" s="96"/>
      <c r="BG122" s="96"/>
      <c r="BH122" s="96"/>
      <c r="BI122" s="11"/>
      <c r="BJ122" s="96"/>
      <c r="BK122" s="96"/>
      <c r="BL122" s="11"/>
      <c r="BM122" s="11"/>
      <c r="BN122" s="96"/>
      <c r="BO122" s="96"/>
      <c r="BP122" s="96"/>
      <c r="BQ122" s="96"/>
      <c r="BR122" s="96"/>
      <c r="BS122" s="11"/>
      <c r="BT122" s="11"/>
      <c r="BU122" s="11"/>
      <c r="BV122" s="11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112"/>
      <c r="CV122" s="96"/>
      <c r="CW122" s="112"/>
      <c r="CX122" s="96"/>
      <c r="CY122" s="96"/>
      <c r="CZ122" s="96"/>
      <c r="DA122" s="26">
        <f t="shared" si="34"/>
        <v>54.864974210692871</v>
      </c>
      <c r="DB122" s="53" t="str">
        <f t="shared" si="35"/>
        <v>Smith, Roberta</v>
      </c>
      <c r="DC122" s="68">
        <f t="shared" si="36"/>
        <v>1</v>
      </c>
      <c r="DD122" s="62">
        <v>66.367715995604314</v>
      </c>
      <c r="DE122" s="209">
        <f t="shared" si="37"/>
        <v>53.910753867242676</v>
      </c>
      <c r="DF122" s="115">
        <f t="shared" si="42"/>
        <v>0</v>
      </c>
      <c r="DG122" s="4">
        <f t="shared" si="38"/>
        <v>0</v>
      </c>
      <c r="DH122" s="115">
        <f t="shared" si="39"/>
        <v>2</v>
      </c>
      <c r="DI122" s="115" t="str">
        <f t="shared" si="40"/>
        <v>CO</v>
      </c>
      <c r="DJ122" s="62">
        <f>IF(COUNT(I122:U122)&lt;5,DA122,SUMPRODUCT(LARGE(I122:U122,{1,2,3,4,5}))/5)</f>
        <v>54.864974210692871</v>
      </c>
      <c r="DK122" s="62">
        <f>IF(COUNT(I122:AN122)&lt;5,DA122,SUMPRODUCT(LARGE(I122:AN122,{1,2,3,4,5}))/5)</f>
        <v>54.864974210692871</v>
      </c>
      <c r="DL122" s="209">
        <f>IF(COUNT(J122:CZ122)&lt;5,AVERAGE(J122:CZ122),SUMPRODUCT(LARGE(J122:CZ122,{1,2,3,4,5}))/5)</f>
        <v>54.864974210692871</v>
      </c>
      <c r="DM122" s="62">
        <f t="shared" si="31"/>
        <v>53.910753867242676</v>
      </c>
      <c r="DN122" s="13" t="str">
        <f t="shared" si="41"/>
        <v>Smith, Roberta</v>
      </c>
      <c r="DO122" s="7"/>
      <c r="DP122" s="16"/>
      <c r="DQ122" s="9"/>
      <c r="DR122" s="9"/>
      <c r="DS122" s="121"/>
      <c r="DT122" s="128"/>
      <c r="DU122" s="128"/>
      <c r="DV122" s="128"/>
      <c r="DW122" s="13"/>
      <c r="DX122" s="13"/>
      <c r="DY122" s="92"/>
      <c r="DZ122" s="83"/>
      <c r="EA122" s="13"/>
      <c r="EB122" s="13"/>
      <c r="EC122" s="13"/>
      <c r="ED122" s="13"/>
      <c r="EE122" s="13"/>
      <c r="EF122" s="13"/>
      <c r="EG122" s="13"/>
      <c r="EI122" s="152"/>
    </row>
    <row r="123" spans="1:139" x14ac:dyDescent="0.2">
      <c r="A123" s="7">
        <v>120</v>
      </c>
      <c r="B123" s="119" t="s">
        <v>243</v>
      </c>
      <c r="C123" s="9" t="s">
        <v>6</v>
      </c>
      <c r="D123" s="9" t="s">
        <v>31</v>
      </c>
      <c r="E123" s="10">
        <v>70.830558800225518</v>
      </c>
      <c r="F123" s="82">
        <v>70.830558800225518</v>
      </c>
      <c r="G123" s="9">
        <f t="shared" si="33"/>
        <v>10</v>
      </c>
      <c r="H123" s="93">
        <v>67.495156583109292</v>
      </c>
      <c r="I123" s="46"/>
      <c r="J123" s="11"/>
      <c r="K123" s="11"/>
      <c r="L123" s="11"/>
      <c r="M123" s="11"/>
      <c r="N123" s="11"/>
      <c r="O123" s="11"/>
      <c r="P123" s="11"/>
      <c r="Q123" s="11"/>
      <c r="R123" s="11">
        <f>(INDEX('Race 10'!$E$8:$E$200,(MATCH($B123,'Race 10'!$B$8:$B$200,0)),1))*100</f>
        <v>70.534786604792217</v>
      </c>
      <c r="S123" s="11">
        <f>(INDEX('Race 11'!$E$8:$E$200,(MATCH($B123,'Race 11'!$B$8:$B$200,0)),1))*100</f>
        <v>72.589859395968347</v>
      </c>
      <c r="T123" s="11">
        <f>(INDEX('Race 12'!$E$8:$E$200,(MATCH($B123,'Race 12'!$B$8:$B$200,0)),1))*100</f>
        <v>72.567626207459014</v>
      </c>
      <c r="U123" s="11">
        <f>(INDEX('Race 13'!$E$8:$E$200,(MATCH($B123,'Race 13'!$B$8:$B$200,0)),1))*100</f>
        <v>67.629962992682536</v>
      </c>
      <c r="V123" s="11"/>
      <c r="W123" s="11"/>
      <c r="X123" s="96"/>
      <c r="Y123" s="96"/>
      <c r="Z123" s="96"/>
      <c r="AA123" s="96"/>
      <c r="AB123" s="96"/>
      <c r="AC123" s="96"/>
      <c r="AD123" s="96"/>
      <c r="AE123" s="96"/>
      <c r="AF123" s="110"/>
      <c r="AG123" s="11"/>
      <c r="AH123" s="11"/>
      <c r="AI123" s="11"/>
      <c r="AJ123" s="11"/>
      <c r="AK123" s="11"/>
      <c r="AL123" s="11"/>
      <c r="AM123" s="11"/>
      <c r="AN123" s="250"/>
      <c r="AO123" s="25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>
        <f>(INDEX('Race 43'!$E$8:$E$200,(MATCH($B123,'Race 43'!$B$8:$B$200,0)),1))*100</f>
        <v>76.195466039339053</v>
      </c>
      <c r="AZ123" s="96"/>
      <c r="BA123" s="11"/>
      <c r="BB123" s="11"/>
      <c r="BC123" s="96"/>
      <c r="BD123" s="11">
        <f>(INDEX('Race 48'!$E$8:$E$200,(MATCH($B123,'Race 48'!$B$8:$B$200,0)),1))*100</f>
        <v>72.836894852196707</v>
      </c>
      <c r="BE123" s="96"/>
      <c r="BF123" s="11">
        <f>(INDEX('Race 50'!$E$8:$E$200,(MATCH($B123,'Race 50'!$B$8:$B$200,0)),1))*100</f>
        <v>72.441789313649636</v>
      </c>
      <c r="BG123" s="11"/>
      <c r="BH123" s="11"/>
      <c r="BI123" s="11"/>
      <c r="BJ123" s="11"/>
      <c r="BK123" s="11"/>
      <c r="BL123" s="11"/>
      <c r="BM123" s="11"/>
      <c r="BN123" s="11"/>
      <c r="BO123" s="11"/>
      <c r="BP123" s="11">
        <f>(INDEX('Race 60'!$E$8:$E$200,(MATCH($B123,'Race 60'!$B$8:$B$200,0)),1))*100</f>
        <v>75.194090366363625</v>
      </c>
      <c r="BQ123" s="11"/>
      <c r="BR123" s="11">
        <f>(INDEX('Race 62'!$E$8:$E$200,(MATCH($B123,'Race 62'!$B$8:$B$200,0)),1))*100</f>
        <v>73.587973299631557</v>
      </c>
      <c r="BS123" s="11"/>
      <c r="BT123" s="11"/>
      <c r="BU123" s="11"/>
      <c r="BV123" s="11"/>
      <c r="BW123" s="96"/>
      <c r="BX123" s="11">
        <f>(INDEX('Race 68'!$E$8:$E$200,(MATCH($B123,'Race 68'!$B$8:$B$200,0)),1))*100</f>
        <v>72.432596082753392</v>
      </c>
      <c r="BY123" s="11"/>
      <c r="BZ123" s="11"/>
      <c r="CA123" s="11"/>
      <c r="CB123" s="11"/>
      <c r="CC123" s="11"/>
      <c r="CD123" s="11"/>
      <c r="CE123" s="11"/>
      <c r="CF123" s="11"/>
      <c r="CG123" s="96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20"/>
      <c r="CV123" s="11"/>
      <c r="CW123" s="20"/>
      <c r="CX123" s="96"/>
      <c r="CY123" s="96"/>
      <c r="CZ123" s="11"/>
      <c r="DA123" s="26">
        <f t="shared" si="34"/>
        <v>72.601104515483613</v>
      </c>
      <c r="DB123" s="53" t="str">
        <f t="shared" si="35"/>
        <v>Stertz, Emma</v>
      </c>
      <c r="DC123" s="68">
        <f t="shared" si="36"/>
        <v>1</v>
      </c>
      <c r="DD123" s="62">
        <v>67.495156583109292</v>
      </c>
      <c r="DE123" s="209">
        <f t="shared" si="37"/>
        <v>72.792430766139205</v>
      </c>
      <c r="DF123" s="115">
        <f t="shared" si="42"/>
        <v>4</v>
      </c>
      <c r="DG123" s="4">
        <f t="shared" si="38"/>
        <v>4</v>
      </c>
      <c r="DH123" s="115">
        <f t="shared" si="39"/>
        <v>10</v>
      </c>
      <c r="DI123" s="115" t="str">
        <f t="shared" si="40"/>
        <v>MN</v>
      </c>
      <c r="DJ123" s="62">
        <f>IF(COUNT(I123:U123)&lt;5,DA123,SUMPRODUCT(LARGE(I123:U123,{1,2,3,4,5}))/5)</f>
        <v>72.601104515483613</v>
      </c>
      <c r="DK123" s="62">
        <f>IF(COUNT(I123:AN123)&lt;5,DA123,SUMPRODUCT(LARGE(I123:AN123,{1,2,3,4,5}))/5)</f>
        <v>72.601104515483613</v>
      </c>
      <c r="DL123" s="62">
        <f>IF(COUNT(I123:CZ123)&lt;5,AVERAGE(I123:CZ123),SUMPRODUCT(LARGE(I123:CZ123,{1,2,3,4,5}))/5)</f>
        <v>74.080856790699869</v>
      </c>
      <c r="DM123" s="62">
        <f t="shared" si="31"/>
        <v>72.792430766139205</v>
      </c>
      <c r="DN123" s="13" t="str">
        <f t="shared" si="41"/>
        <v>Stertz, Emma</v>
      </c>
      <c r="DO123" s="7"/>
      <c r="DP123" s="16"/>
      <c r="DQ123" s="9"/>
      <c r="DR123" s="9"/>
      <c r="DS123" s="121"/>
      <c r="DT123" s="128"/>
      <c r="DU123" s="128"/>
      <c r="DV123" s="128"/>
      <c r="DW123" s="13"/>
      <c r="DX123" s="13"/>
      <c r="DY123" s="92"/>
      <c r="DZ123" s="83"/>
      <c r="EA123" s="13"/>
      <c r="EB123" s="13"/>
      <c r="EC123" s="13"/>
      <c r="ED123" s="13"/>
      <c r="EE123" s="13"/>
      <c r="EF123" s="13"/>
      <c r="EG123" s="13"/>
      <c r="EI123" s="152"/>
    </row>
    <row r="124" spans="1:139" x14ac:dyDescent="0.2">
      <c r="A124" s="7">
        <v>121</v>
      </c>
      <c r="B124" s="119" t="s">
        <v>222</v>
      </c>
      <c r="C124" s="9" t="s">
        <v>6</v>
      </c>
      <c r="D124" s="9" t="s">
        <v>33</v>
      </c>
      <c r="E124" s="10">
        <v>75.440297331598515</v>
      </c>
      <c r="F124" s="82">
        <v>75.440297331598515</v>
      </c>
      <c r="G124" s="9">
        <f t="shared" si="33"/>
        <v>0</v>
      </c>
      <c r="H124" s="93">
        <v>75.440297331598515</v>
      </c>
      <c r="I124" s="46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96"/>
      <c r="U124" s="11"/>
      <c r="V124" s="11"/>
      <c r="W124" s="11"/>
      <c r="X124" s="96"/>
      <c r="Y124" s="96"/>
      <c r="Z124" s="96"/>
      <c r="AA124" s="96"/>
      <c r="AB124" s="96"/>
      <c r="AC124" s="96"/>
      <c r="AD124" s="96"/>
      <c r="AE124" s="96"/>
      <c r="AF124" s="110"/>
      <c r="AG124" s="11"/>
      <c r="AH124" s="11"/>
      <c r="AI124" s="11"/>
      <c r="AJ124" s="11"/>
      <c r="AK124" s="11"/>
      <c r="AL124" s="11"/>
      <c r="AM124" s="11"/>
      <c r="AN124" s="250"/>
      <c r="AO124" s="251"/>
      <c r="AP124" s="11"/>
      <c r="AQ124" s="11"/>
      <c r="AR124" s="11"/>
      <c r="AS124" s="11"/>
      <c r="AT124" s="11"/>
      <c r="AU124" s="11"/>
      <c r="AV124" s="96"/>
      <c r="AW124" s="11"/>
      <c r="AX124" s="11"/>
      <c r="AY124" s="11"/>
      <c r="AZ124" s="96"/>
      <c r="BA124" s="11"/>
      <c r="BB124" s="11"/>
      <c r="BC124" s="96"/>
      <c r="BD124" s="11"/>
      <c r="BE124" s="96"/>
      <c r="BF124" s="11"/>
      <c r="BG124" s="11"/>
      <c r="BH124" s="11"/>
      <c r="BI124" s="11"/>
      <c r="BJ124" s="11"/>
      <c r="BK124" s="11"/>
      <c r="BL124" s="11"/>
      <c r="BM124" s="11"/>
      <c r="BN124" s="96"/>
      <c r="BO124" s="11"/>
      <c r="BP124" s="11"/>
      <c r="BQ124" s="11"/>
      <c r="BR124" s="11"/>
      <c r="BS124" s="11"/>
      <c r="BT124" s="11"/>
      <c r="BU124" s="11"/>
      <c r="BV124" s="11"/>
      <c r="BW124" s="96"/>
      <c r="BX124" s="11"/>
      <c r="BY124" s="11"/>
      <c r="BZ124" s="11"/>
      <c r="CA124" s="11"/>
      <c r="CB124" s="11"/>
      <c r="CC124" s="11"/>
      <c r="CD124" s="11"/>
      <c r="CE124" s="11"/>
      <c r="CF124" s="11"/>
      <c r="CG124" s="96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20"/>
      <c r="CV124" s="11"/>
      <c r="CW124" s="20"/>
      <c r="CX124" s="96"/>
      <c r="CY124" s="96"/>
      <c r="CZ124" s="11"/>
      <c r="DA124" s="26">
        <f t="shared" si="34"/>
        <v>75.440297331598515</v>
      </c>
      <c r="DB124" s="42" t="str">
        <f t="shared" si="35"/>
        <v>Streinz, Hannah</v>
      </c>
      <c r="DC124" s="43">
        <f t="shared" si="36"/>
        <v>0</v>
      </c>
      <c r="DD124" s="62">
        <v>75.440297331598515</v>
      </c>
      <c r="DE124" s="62">
        <f t="shared" si="37"/>
        <v>0</v>
      </c>
      <c r="DF124" s="4">
        <f t="shared" si="42"/>
        <v>0</v>
      </c>
      <c r="DG124" s="4">
        <f t="shared" si="38"/>
        <v>0</v>
      </c>
      <c r="DH124" s="4">
        <f t="shared" si="39"/>
        <v>0</v>
      </c>
      <c r="DI124" s="4" t="str">
        <f t="shared" si="40"/>
        <v>ME</v>
      </c>
      <c r="DJ124" s="62">
        <f>IF(COUNT(I124:U124)&lt;5,DA124,SUMPRODUCT(LARGE(I124:U124,{1,2,3,4,5}))/5)</f>
        <v>75.440297331598515</v>
      </c>
      <c r="DK124" s="62">
        <f>IF(COUNT(I124:AN124)&lt;5,DA124,SUMPRODUCT(LARGE(I124:AN124,{1,2,3,4,5}))/5)</f>
        <v>75.440297331598515</v>
      </c>
      <c r="DL124" s="209">
        <f>IF(COUNT(J124:CZ124)=0,0,SUMPRODUCT(LARGE(J124:CZ124,{1,2,3,4,5}))/5)</f>
        <v>0</v>
      </c>
      <c r="DM124" s="62">
        <f t="shared" si="31"/>
        <v>0</v>
      </c>
      <c r="DN124" s="13" t="str">
        <f t="shared" si="41"/>
        <v>Streinz, Hannah</v>
      </c>
      <c r="DO124" s="7"/>
      <c r="DP124" s="16"/>
      <c r="DQ124" s="9"/>
      <c r="DR124" s="9"/>
      <c r="DS124" s="121"/>
      <c r="DT124" s="128"/>
      <c r="DU124" s="128"/>
      <c r="DV124" s="128"/>
      <c r="DW124" s="13"/>
      <c r="DX124" s="13"/>
      <c r="DY124" s="92"/>
      <c r="DZ124" s="83"/>
      <c r="EA124" s="13"/>
      <c r="EB124" s="13"/>
      <c r="EC124" s="13"/>
      <c r="ED124" s="13"/>
      <c r="EE124" s="13"/>
      <c r="EF124" s="13"/>
      <c r="EG124" s="13"/>
      <c r="EI124" s="152"/>
    </row>
    <row r="125" spans="1:139" x14ac:dyDescent="0.2">
      <c r="A125" s="7">
        <v>122</v>
      </c>
      <c r="B125" s="119" t="s">
        <v>262</v>
      </c>
      <c r="C125" s="9" t="s">
        <v>5</v>
      </c>
      <c r="D125" s="9" t="s">
        <v>35</v>
      </c>
      <c r="E125" s="10">
        <v>47.105102358879876</v>
      </c>
      <c r="F125" s="82">
        <v>47.105102358879876</v>
      </c>
      <c r="G125" s="9">
        <f t="shared" si="33"/>
        <v>0</v>
      </c>
      <c r="H125" s="93">
        <v>47.105102358879876</v>
      </c>
      <c r="I125" s="46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96"/>
      <c r="U125" s="11"/>
      <c r="V125" s="11"/>
      <c r="W125" s="11"/>
      <c r="X125" s="96"/>
      <c r="Y125" s="96"/>
      <c r="Z125" s="96"/>
      <c r="AA125" s="96"/>
      <c r="AB125" s="96"/>
      <c r="AC125" s="96"/>
      <c r="AD125" s="96"/>
      <c r="AE125" s="96"/>
      <c r="AF125" s="110"/>
      <c r="AG125" s="11"/>
      <c r="AH125" s="11"/>
      <c r="AI125" s="11"/>
      <c r="AJ125" s="11"/>
      <c r="AK125" s="11"/>
      <c r="AL125" s="11"/>
      <c r="AM125" s="11"/>
      <c r="AN125" s="250"/>
      <c r="AO125" s="25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96"/>
      <c r="BA125" s="11"/>
      <c r="BB125" s="11"/>
      <c r="BC125" s="96"/>
      <c r="BD125" s="11"/>
      <c r="BE125" s="96"/>
      <c r="BF125" s="11"/>
      <c r="BG125" s="11"/>
      <c r="BH125" s="11"/>
      <c r="BI125" s="11"/>
      <c r="BJ125" s="11"/>
      <c r="BK125" s="11"/>
      <c r="BL125" s="11"/>
      <c r="BM125" s="11"/>
      <c r="BN125" s="96"/>
      <c r="BO125" s="11"/>
      <c r="BP125" s="11"/>
      <c r="BQ125" s="11"/>
      <c r="BR125" s="11"/>
      <c r="BS125" s="11"/>
      <c r="BT125" s="11"/>
      <c r="BU125" s="11"/>
      <c r="BV125" s="11"/>
      <c r="BW125" s="96"/>
      <c r="BX125" s="11"/>
      <c r="BY125" s="11"/>
      <c r="BZ125" s="11"/>
      <c r="CA125" s="11"/>
      <c r="CB125" s="11"/>
      <c r="CC125" s="11"/>
      <c r="CD125" s="11"/>
      <c r="CE125" s="11"/>
      <c r="CF125" s="11"/>
      <c r="CG125" s="96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20"/>
      <c r="CV125" s="11"/>
      <c r="CW125" s="20"/>
      <c r="CX125" s="96"/>
      <c r="CY125" s="96"/>
      <c r="CZ125" s="11"/>
      <c r="DA125" s="26">
        <f t="shared" si="34"/>
        <v>47.105102358879876</v>
      </c>
      <c r="DB125" s="53" t="str">
        <f t="shared" si="35"/>
        <v>SWINGHOLM, ERIN</v>
      </c>
      <c r="DC125" s="68">
        <f t="shared" si="36"/>
        <v>0</v>
      </c>
      <c r="DD125" s="209">
        <v>47.105102358879876</v>
      </c>
      <c r="DE125" s="209">
        <f t="shared" si="37"/>
        <v>0</v>
      </c>
      <c r="DF125" s="115">
        <f>COUNT(I125:AC125)</f>
        <v>0</v>
      </c>
      <c r="DG125" s="4">
        <f t="shared" si="38"/>
        <v>0</v>
      </c>
      <c r="DH125" s="115">
        <f t="shared" si="39"/>
        <v>0</v>
      </c>
      <c r="DI125" s="115" t="str">
        <f t="shared" si="40"/>
        <v>WY</v>
      </c>
      <c r="DJ125" s="62">
        <f>IF(COUNT(I125:U125)&lt;5,DA125,SUMPRODUCT(LARGE(I125:U125,{1,2,3,4,5}))/5)</f>
        <v>47.105102358879876</v>
      </c>
      <c r="DK125" s="62">
        <f>IF(COUNT(I125:AN125)&lt;5,DA125,SUMPRODUCT(LARGE(I125:AN125,{1,2,3,4,5}))/5)</f>
        <v>47.105102358879876</v>
      </c>
      <c r="DL125" s="209">
        <f>IF(COUNT(J125:CZ125)=0,0,SUMPRODUCT(LARGE(J125:CZ125,{1,2,3,4,5}))/5)</f>
        <v>0</v>
      </c>
      <c r="DM125" s="62">
        <f t="shared" si="31"/>
        <v>0</v>
      </c>
      <c r="DN125" s="13" t="str">
        <f t="shared" si="41"/>
        <v>SWINGHOLM, ERIN</v>
      </c>
      <c r="DO125" s="7"/>
      <c r="DP125" s="16"/>
      <c r="DQ125" s="9"/>
      <c r="DR125" s="9"/>
      <c r="DS125" s="121"/>
      <c r="DT125" s="128"/>
      <c r="DU125" s="128"/>
      <c r="DV125" s="128"/>
      <c r="DW125" s="13"/>
      <c r="DX125" s="13"/>
      <c r="DY125" s="92"/>
      <c r="DZ125" s="83"/>
      <c r="EA125" s="13"/>
      <c r="EB125" s="13"/>
      <c r="EC125" s="13"/>
      <c r="ED125" s="13"/>
      <c r="EE125" s="13"/>
      <c r="EF125" s="13"/>
      <c r="EG125" s="13"/>
      <c r="EI125" s="152"/>
    </row>
    <row r="126" spans="1:139" x14ac:dyDescent="0.2">
      <c r="A126" s="7">
        <v>123</v>
      </c>
      <c r="B126" s="119" t="s">
        <v>439</v>
      </c>
      <c r="C126" s="9" t="s">
        <v>5</v>
      </c>
      <c r="D126" s="9" t="s">
        <v>37</v>
      </c>
      <c r="E126" s="10">
        <v>0</v>
      </c>
      <c r="F126" s="82">
        <v>0</v>
      </c>
      <c r="G126" s="9">
        <f t="shared" si="33"/>
        <v>2</v>
      </c>
      <c r="H126" s="93">
        <v>0</v>
      </c>
      <c r="I126" s="46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96"/>
      <c r="U126" s="11"/>
      <c r="V126" s="11"/>
      <c r="W126" s="11"/>
      <c r="X126" s="96"/>
      <c r="Y126" s="96"/>
      <c r="Z126" s="96"/>
      <c r="AA126" s="96"/>
      <c r="AB126" s="96"/>
      <c r="AC126" s="96"/>
      <c r="AD126" s="96"/>
      <c r="AE126" s="96"/>
      <c r="AF126" s="110"/>
      <c r="AG126" s="11"/>
      <c r="AH126" s="11"/>
      <c r="AI126" s="11"/>
      <c r="AJ126" s="11"/>
      <c r="AK126" s="11"/>
      <c r="AL126" s="11"/>
      <c r="AM126" s="11"/>
      <c r="AN126" s="250"/>
      <c r="AO126" s="251"/>
      <c r="AP126" s="11"/>
      <c r="AQ126" s="11"/>
      <c r="AR126" s="11"/>
      <c r="AS126" s="11"/>
      <c r="AT126" s="11"/>
      <c r="AU126" s="11"/>
      <c r="AV126" s="11"/>
      <c r="AW126" s="11">
        <f>(INDEX('Race 41'!$E$8:$E$200,(MATCH($B126,'Race 41'!$B$8:$B$200,0)),1))*100</f>
        <v>52.139694204679934</v>
      </c>
      <c r="AX126" s="11">
        <f>(INDEX('Race 42'!$E$8:$E$200,(MATCH($B126,'Race 42'!$B$8:$B$200,0)),1))*100</f>
        <v>53.362854886380106</v>
      </c>
      <c r="AY126" s="11"/>
      <c r="AZ126" s="11"/>
      <c r="BA126" s="11"/>
      <c r="BB126" s="11"/>
      <c r="BC126" s="96"/>
      <c r="BD126" s="11"/>
      <c r="BE126" s="96"/>
      <c r="BF126" s="11"/>
      <c r="BG126" s="11"/>
      <c r="BH126" s="11"/>
      <c r="BI126" s="11"/>
      <c r="BJ126" s="11"/>
      <c r="BK126" s="11"/>
      <c r="BL126" s="11"/>
      <c r="BM126" s="11"/>
      <c r="BN126" s="96"/>
      <c r="BO126" s="11"/>
      <c r="BP126" s="11"/>
      <c r="BQ126" s="11"/>
      <c r="BR126" s="11"/>
      <c r="BS126" s="11"/>
      <c r="BT126" s="11"/>
      <c r="BU126" s="11"/>
      <c r="BV126" s="11"/>
      <c r="BW126" s="96"/>
      <c r="BX126" s="11"/>
      <c r="BY126" s="11"/>
      <c r="BZ126" s="11"/>
      <c r="CA126" s="11"/>
      <c r="CB126" s="11"/>
      <c r="CC126" s="11"/>
      <c r="CD126" s="11"/>
      <c r="CE126" s="11"/>
      <c r="CF126" s="11"/>
      <c r="CG126" s="96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20"/>
      <c r="CV126" s="11"/>
      <c r="CW126" s="20"/>
      <c r="CX126" s="96"/>
      <c r="CY126" s="96"/>
      <c r="CZ126" s="11"/>
      <c r="DA126" s="26">
        <f t="shared" si="34"/>
        <v>52.751274545530023</v>
      </c>
      <c r="DB126" s="53" t="str">
        <f t="shared" si="35"/>
        <v>Szabo, Heather</v>
      </c>
      <c r="DC126" s="68">
        <f t="shared" si="36"/>
        <v>1</v>
      </c>
      <c r="DD126" s="62">
        <v>66.367715995604314</v>
      </c>
      <c r="DE126" s="209">
        <f t="shared" si="37"/>
        <v>51.833816002289502</v>
      </c>
      <c r="DF126" s="115">
        <f>COUNT(I126:X126)</f>
        <v>0</v>
      </c>
      <c r="DG126" s="4">
        <f t="shared" si="38"/>
        <v>0</v>
      </c>
      <c r="DH126" s="115">
        <f t="shared" si="39"/>
        <v>2</v>
      </c>
      <c r="DI126" s="115" t="str">
        <f t="shared" si="40"/>
        <v>CO</v>
      </c>
      <c r="DJ126" s="62">
        <f>IF(COUNT(I126:U126)&lt;5,DA126,SUMPRODUCT(LARGE(I126:U126,{1,2,3,4,5}))/5)</f>
        <v>52.751274545530023</v>
      </c>
      <c r="DK126" s="62">
        <f>IF(COUNT(I126:AN126)&lt;5,DA126,SUMPRODUCT(LARGE(I126:AN126,{1,2,3,4,5}))/5)</f>
        <v>52.751274545530023</v>
      </c>
      <c r="DL126" s="209">
        <f>IF(COUNT(J126:CZ126)&lt;5,AVERAGE(J126:CZ126),SUMPRODUCT(LARGE(J126:CZ126,{1,2,3,4,5}))/5)</f>
        <v>52.751274545530023</v>
      </c>
      <c r="DM126" s="62">
        <f t="shared" si="31"/>
        <v>51.833816002289502</v>
      </c>
      <c r="DN126" s="13" t="str">
        <f t="shared" si="41"/>
        <v>Szabo, Heather</v>
      </c>
      <c r="DO126" s="7"/>
      <c r="DP126" s="16"/>
      <c r="DQ126" s="9"/>
      <c r="DR126" s="9"/>
      <c r="DS126" s="121"/>
      <c r="DT126" s="128"/>
      <c r="DU126" s="128"/>
      <c r="DV126" s="128"/>
      <c r="DW126" s="13"/>
      <c r="DX126" s="13"/>
      <c r="DY126" s="92"/>
      <c r="DZ126" s="83"/>
      <c r="EA126" s="13"/>
      <c r="EB126" s="13"/>
      <c r="EC126" s="13"/>
      <c r="ED126" s="13"/>
      <c r="EE126" s="13"/>
      <c r="EF126" s="13"/>
      <c r="EG126" s="13"/>
      <c r="EI126" s="152"/>
    </row>
    <row r="127" spans="1:139" x14ac:dyDescent="0.2">
      <c r="A127" s="7">
        <v>124</v>
      </c>
      <c r="B127" s="119" t="s">
        <v>260</v>
      </c>
      <c r="C127" s="9" t="s">
        <v>5</v>
      </c>
      <c r="D127" s="9" t="s">
        <v>31</v>
      </c>
      <c r="E127" s="10">
        <v>55.143951465197219</v>
      </c>
      <c r="F127" s="82">
        <v>55.143951465197219</v>
      </c>
      <c r="G127" s="9">
        <f t="shared" si="33"/>
        <v>0</v>
      </c>
      <c r="H127" s="93">
        <v>55.143951465197219</v>
      </c>
      <c r="I127" s="46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96"/>
      <c r="U127" s="11"/>
      <c r="V127" s="11"/>
      <c r="W127" s="11"/>
      <c r="X127" s="96"/>
      <c r="Y127" s="96"/>
      <c r="Z127" s="96"/>
      <c r="AA127" s="96"/>
      <c r="AB127" s="96"/>
      <c r="AC127" s="96"/>
      <c r="AD127" s="96"/>
      <c r="AE127" s="96"/>
      <c r="AF127" s="110"/>
      <c r="AG127" s="11"/>
      <c r="AH127" s="11"/>
      <c r="AI127" s="11"/>
      <c r="AJ127" s="11"/>
      <c r="AK127" s="11"/>
      <c r="AL127" s="11"/>
      <c r="AM127" s="11"/>
      <c r="AN127" s="250"/>
      <c r="AO127" s="25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96"/>
      <c r="BA127" s="11"/>
      <c r="BB127" s="11"/>
      <c r="BC127" s="96"/>
      <c r="BD127" s="11"/>
      <c r="BE127" s="96"/>
      <c r="BF127" s="11"/>
      <c r="BG127" s="11"/>
      <c r="BH127" s="11"/>
      <c r="BI127" s="11"/>
      <c r="BJ127" s="11"/>
      <c r="BK127" s="11"/>
      <c r="BL127" s="11"/>
      <c r="BM127" s="11"/>
      <c r="BN127" s="96"/>
      <c r="BO127" s="11"/>
      <c r="BP127" s="11"/>
      <c r="BQ127" s="11"/>
      <c r="BR127" s="11"/>
      <c r="BS127" s="11"/>
      <c r="BT127" s="11"/>
      <c r="BU127" s="11"/>
      <c r="BV127" s="11"/>
      <c r="BW127" s="96"/>
      <c r="BX127" s="11"/>
      <c r="BY127" s="11"/>
      <c r="BZ127" s="11"/>
      <c r="CA127" s="11"/>
      <c r="CB127" s="11"/>
      <c r="CC127" s="11"/>
      <c r="CD127" s="11"/>
      <c r="CE127" s="11"/>
      <c r="CF127" s="11"/>
      <c r="CG127" s="96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20"/>
      <c r="CV127" s="11"/>
      <c r="CW127" s="20"/>
      <c r="CX127" s="96"/>
      <c r="CY127" s="96"/>
      <c r="CZ127" s="11"/>
      <c r="DA127" s="26">
        <f t="shared" si="34"/>
        <v>55.143951465197219</v>
      </c>
      <c r="DB127" s="53" t="str">
        <f t="shared" si="35"/>
        <v>THIESCHAFER, SHAWNA</v>
      </c>
      <c r="DC127" s="68">
        <f t="shared" si="36"/>
        <v>0</v>
      </c>
      <c r="DD127" s="209">
        <v>55.143951465197219</v>
      </c>
      <c r="DE127" s="209">
        <f t="shared" si="37"/>
        <v>0</v>
      </c>
      <c r="DF127" s="115">
        <f>COUNT(I127:AC127)</f>
        <v>0</v>
      </c>
      <c r="DG127" s="4">
        <f t="shared" si="38"/>
        <v>0</v>
      </c>
      <c r="DH127" s="115">
        <f t="shared" si="39"/>
        <v>0</v>
      </c>
      <c r="DI127" s="115" t="str">
        <f t="shared" si="40"/>
        <v>MN</v>
      </c>
      <c r="DJ127" s="62">
        <f>IF(COUNT(I127:U127)&lt;5,DA127,SUMPRODUCT(LARGE(I127:U127,{1,2,3,4,5}))/5)</f>
        <v>55.143951465197219</v>
      </c>
      <c r="DK127" s="62">
        <f>IF(COUNT(I127:AN127)&lt;5,DA127,SUMPRODUCT(LARGE(I127:AN127,{1,2,3,4,5}))/5)</f>
        <v>55.143951465197219</v>
      </c>
      <c r="DL127" s="209">
        <f>IF(COUNT(J127:CZ127)=0,0,SUMPRODUCT(LARGE(J127:CZ127,{1,2,3,4,5}))/5)</f>
        <v>0</v>
      </c>
      <c r="DM127" s="62">
        <f t="shared" si="31"/>
        <v>0</v>
      </c>
      <c r="DN127" s="13" t="str">
        <f t="shared" si="41"/>
        <v>THIESCHAFER, SHAWNA</v>
      </c>
      <c r="DO127" s="7"/>
      <c r="DP127" s="16"/>
      <c r="DQ127" s="9"/>
      <c r="DR127" s="9"/>
      <c r="DS127" s="121"/>
      <c r="DT127" s="128"/>
      <c r="DU127" s="128"/>
      <c r="DV127" s="128"/>
      <c r="DW127" s="13"/>
      <c r="DX127" s="13"/>
      <c r="DY127" s="92"/>
      <c r="DZ127" s="83"/>
      <c r="EA127" s="13"/>
      <c r="EB127" s="13"/>
      <c r="EC127" s="13"/>
      <c r="ED127" s="13"/>
      <c r="EE127" s="13"/>
      <c r="EF127" s="13"/>
      <c r="EG127" s="13"/>
      <c r="EI127" s="152"/>
    </row>
    <row r="128" spans="1:139" x14ac:dyDescent="0.2">
      <c r="A128" s="7">
        <v>125</v>
      </c>
      <c r="B128" s="119" t="s">
        <v>251</v>
      </c>
      <c r="C128" s="9" t="s">
        <v>6</v>
      </c>
      <c r="D128" s="9" t="s">
        <v>30</v>
      </c>
      <c r="E128" s="10">
        <v>69.575196820506108</v>
      </c>
      <c r="F128" s="82">
        <v>69.575196820506108</v>
      </c>
      <c r="G128" s="9">
        <f t="shared" si="33"/>
        <v>0</v>
      </c>
      <c r="H128" s="93">
        <v>69.575196820506108</v>
      </c>
      <c r="I128" s="46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96"/>
      <c r="U128" s="11"/>
      <c r="V128" s="11"/>
      <c r="W128" s="11"/>
      <c r="X128" s="96"/>
      <c r="Y128" s="96"/>
      <c r="Z128" s="96"/>
      <c r="AA128" s="96"/>
      <c r="AB128" s="96"/>
      <c r="AC128" s="96"/>
      <c r="AD128" s="96"/>
      <c r="AE128" s="96"/>
      <c r="AF128" s="110"/>
      <c r="AG128" s="11"/>
      <c r="AH128" s="11"/>
      <c r="AI128" s="11"/>
      <c r="AJ128" s="11"/>
      <c r="AK128" s="11"/>
      <c r="AL128" s="11"/>
      <c r="AM128" s="11"/>
      <c r="AN128" s="250"/>
      <c r="AO128" s="25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96"/>
      <c r="BA128" s="11"/>
      <c r="BB128" s="11"/>
      <c r="BC128" s="11"/>
      <c r="BD128" s="11"/>
      <c r="BE128" s="96"/>
      <c r="BF128" s="11"/>
      <c r="BG128" s="11"/>
      <c r="BH128" s="11"/>
      <c r="BI128" s="11"/>
      <c r="BJ128" s="11"/>
      <c r="BK128" s="11"/>
      <c r="BL128" s="11"/>
      <c r="BM128" s="11"/>
      <c r="BN128" s="96"/>
      <c r="BO128" s="11"/>
      <c r="BP128" s="11"/>
      <c r="BQ128" s="11"/>
      <c r="BR128" s="11"/>
      <c r="BS128" s="11"/>
      <c r="BT128" s="11"/>
      <c r="BU128" s="11"/>
      <c r="BV128" s="11"/>
      <c r="BW128" s="96"/>
      <c r="BX128" s="96"/>
      <c r="BY128" s="11"/>
      <c r="BZ128" s="11"/>
      <c r="CA128" s="11"/>
      <c r="CB128" s="11"/>
      <c r="CC128" s="11"/>
      <c r="CD128" s="11"/>
      <c r="CE128" s="11"/>
      <c r="CF128" s="11"/>
      <c r="CG128" s="96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20"/>
      <c r="CV128" s="11"/>
      <c r="CW128" s="20"/>
      <c r="CX128" s="96"/>
      <c r="CY128" s="96"/>
      <c r="CZ128" s="11"/>
      <c r="DA128" s="26">
        <f t="shared" si="34"/>
        <v>69.575196820506108</v>
      </c>
      <c r="DB128" s="53" t="str">
        <f t="shared" si="35"/>
        <v>Thomas, Eliza</v>
      </c>
      <c r="DC128" s="68">
        <f t="shared" si="36"/>
        <v>0</v>
      </c>
      <c r="DD128" s="62">
        <v>69.575196820506108</v>
      </c>
      <c r="DE128" s="209">
        <f t="shared" si="37"/>
        <v>0</v>
      </c>
      <c r="DF128" s="115">
        <f t="shared" ref="DF128:DF139" si="43">COUNT(I128:X128)</f>
        <v>0</v>
      </c>
      <c r="DG128" s="4">
        <f t="shared" si="38"/>
        <v>0</v>
      </c>
      <c r="DH128" s="115">
        <f t="shared" si="39"/>
        <v>0</v>
      </c>
      <c r="DI128" s="115" t="str">
        <f t="shared" si="40"/>
        <v>AK</v>
      </c>
      <c r="DJ128" s="62">
        <f>IF(COUNT(I128:U128)&lt;5,DA128,SUMPRODUCT(LARGE(I128:U128,{1,2,3,4,5}))/5)</f>
        <v>69.575196820506108</v>
      </c>
      <c r="DK128" s="62">
        <f>IF(COUNT(I128:AN128)&lt;5,DA128,SUMPRODUCT(LARGE(I128:AN128,{1,2,3,4,5}))/5)</f>
        <v>69.575196820506108</v>
      </c>
      <c r="DL128" s="209">
        <f>IF(COUNT(J128:CZ128)=0,0,SUMPRODUCT(LARGE(J128:CZ128,{1,2,3,4,5}))/5)</f>
        <v>0</v>
      </c>
      <c r="DM128" s="62">
        <f t="shared" si="31"/>
        <v>0</v>
      </c>
      <c r="DN128" s="13" t="str">
        <f t="shared" si="41"/>
        <v>Thomas, Eliza</v>
      </c>
      <c r="DO128" s="7"/>
      <c r="DP128" s="16"/>
      <c r="DQ128" s="9"/>
      <c r="DR128" s="9"/>
      <c r="DS128" s="121"/>
      <c r="DT128" s="128"/>
      <c r="DU128" s="128"/>
      <c r="DV128" s="128"/>
      <c r="DW128" s="13"/>
      <c r="DX128" s="13"/>
      <c r="DY128" s="92"/>
      <c r="DZ128" s="83"/>
      <c r="EA128" s="13"/>
      <c r="EB128" s="13"/>
      <c r="EC128" s="13"/>
      <c r="ED128" s="13"/>
      <c r="EE128" s="13"/>
      <c r="EF128" s="13"/>
      <c r="EG128" s="13"/>
      <c r="EI128" s="152"/>
    </row>
    <row r="129" spans="1:139" x14ac:dyDescent="0.2">
      <c r="A129" s="7">
        <v>126</v>
      </c>
      <c r="B129" s="119" t="s">
        <v>291</v>
      </c>
      <c r="C129" s="9" t="s">
        <v>5</v>
      </c>
      <c r="D129" s="9" t="s">
        <v>293</v>
      </c>
      <c r="E129" s="10">
        <v>33.448251282704831</v>
      </c>
      <c r="F129" s="82">
        <v>33.448251282704831</v>
      </c>
      <c r="G129" s="9">
        <f t="shared" si="33"/>
        <v>0</v>
      </c>
      <c r="H129" s="93">
        <v>33.448251282704831</v>
      </c>
      <c r="I129" s="46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96"/>
      <c r="U129" s="11"/>
      <c r="V129" s="11"/>
      <c r="W129" s="11"/>
      <c r="X129" s="96"/>
      <c r="Y129" s="96"/>
      <c r="Z129" s="96"/>
      <c r="AA129" s="96"/>
      <c r="AB129" s="96"/>
      <c r="AC129" s="96"/>
      <c r="AD129" s="96"/>
      <c r="AE129" s="96"/>
      <c r="AF129" s="110"/>
      <c r="AG129" s="11"/>
      <c r="AH129" s="11"/>
      <c r="AI129" s="11"/>
      <c r="AJ129" s="11"/>
      <c r="AK129" s="11"/>
      <c r="AL129" s="11"/>
      <c r="AM129" s="11"/>
      <c r="AN129" s="250"/>
      <c r="AO129" s="25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96"/>
      <c r="BA129" s="11"/>
      <c r="BB129" s="11"/>
      <c r="BC129" s="96"/>
      <c r="BD129" s="11"/>
      <c r="BE129" s="96"/>
      <c r="BF129" s="11"/>
      <c r="BG129" s="11"/>
      <c r="BH129" s="11"/>
      <c r="BI129" s="11"/>
      <c r="BJ129" s="11"/>
      <c r="BK129" s="11"/>
      <c r="BL129" s="11"/>
      <c r="BM129" s="11"/>
      <c r="BN129" s="96"/>
      <c r="BO129" s="11"/>
      <c r="BP129" s="11"/>
      <c r="BQ129" s="11"/>
      <c r="BR129" s="11"/>
      <c r="BS129" s="11"/>
      <c r="BT129" s="11"/>
      <c r="BU129" s="11"/>
      <c r="BV129" s="11"/>
      <c r="BW129" s="96"/>
      <c r="BX129" s="11"/>
      <c r="BY129" s="11"/>
      <c r="BZ129" s="11"/>
      <c r="CA129" s="11"/>
      <c r="CB129" s="11"/>
      <c r="CC129" s="11"/>
      <c r="CD129" s="11"/>
      <c r="CE129" s="11"/>
      <c r="CF129" s="11"/>
      <c r="CG129" s="96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20"/>
      <c r="CV129" s="11"/>
      <c r="CW129" s="20"/>
      <c r="CX129" s="96"/>
      <c r="CY129" s="96"/>
      <c r="CZ129" s="11"/>
      <c r="DA129" s="26">
        <f t="shared" si="34"/>
        <v>33.448251282704831</v>
      </c>
      <c r="DB129" s="53" t="str">
        <f t="shared" si="35"/>
        <v xml:space="preserve">Tolbert-Bravo, Victoria </v>
      </c>
      <c r="DC129" s="68">
        <f t="shared" si="36"/>
        <v>0</v>
      </c>
      <c r="DD129" s="62">
        <v>33.448251282704831</v>
      </c>
      <c r="DE129" s="209">
        <f t="shared" si="37"/>
        <v>0</v>
      </c>
      <c r="DF129" s="115">
        <f t="shared" si="43"/>
        <v>0</v>
      </c>
      <c r="DG129" s="4">
        <f t="shared" si="38"/>
        <v>0</v>
      </c>
      <c r="DH129" s="115">
        <f t="shared" si="39"/>
        <v>0</v>
      </c>
      <c r="DI129" s="115" t="str">
        <f t="shared" si="40"/>
        <v>RI</v>
      </c>
      <c r="DJ129" s="62">
        <f>IF(COUNT(I129:U129)&lt;5,DA129,SUMPRODUCT(LARGE(I129:U129,{1,2,3,4,5}))/5)</f>
        <v>33.448251282704831</v>
      </c>
      <c r="DK129" s="62">
        <f>IF(COUNT(I129:AN129)&lt;5,DA129,SUMPRODUCT(LARGE(I129:AN129,{1,2,3,4,5}))/5)</f>
        <v>33.448251282704831</v>
      </c>
      <c r="DL129" s="209">
        <f>IF(COUNT(J129:CZ129)=0,0,SUMPRODUCT(LARGE(J129:CZ129,{1,2,3,4,5}))/5)</f>
        <v>0</v>
      </c>
      <c r="DM129" s="62">
        <f t="shared" si="31"/>
        <v>0</v>
      </c>
      <c r="DN129" s="13" t="str">
        <f t="shared" si="41"/>
        <v xml:space="preserve">Tolbert-Bravo, Victoria </v>
      </c>
      <c r="DO129" s="7"/>
      <c r="DP129" s="16"/>
      <c r="DQ129" s="9"/>
      <c r="DR129" s="9"/>
      <c r="DS129" s="121"/>
      <c r="DT129" s="128"/>
      <c r="DU129" s="128"/>
      <c r="DV129" s="128"/>
      <c r="DW129" s="13"/>
      <c r="DX129" s="13"/>
      <c r="DY129" s="92"/>
      <c r="DZ129" s="83"/>
      <c r="EA129" s="13"/>
      <c r="EB129" s="13"/>
      <c r="EC129" s="13"/>
      <c r="ED129" s="13"/>
      <c r="EE129" s="13"/>
      <c r="EF129" s="13"/>
      <c r="EG129" s="13"/>
      <c r="EI129" s="152"/>
    </row>
    <row r="130" spans="1:139" x14ac:dyDescent="0.2">
      <c r="A130" s="7">
        <v>127</v>
      </c>
      <c r="B130" s="119" t="s">
        <v>254</v>
      </c>
      <c r="C130" s="9" t="s">
        <v>6</v>
      </c>
      <c r="D130" s="9" t="s">
        <v>30</v>
      </c>
      <c r="E130" s="10">
        <v>60.589262918381422</v>
      </c>
      <c r="F130" s="82">
        <v>60.589262918381422</v>
      </c>
      <c r="G130" s="9">
        <f t="shared" si="33"/>
        <v>0</v>
      </c>
      <c r="H130" s="93">
        <v>60.589262918381422</v>
      </c>
      <c r="I130" s="46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96"/>
      <c r="U130" s="11"/>
      <c r="V130" s="11"/>
      <c r="W130" s="11"/>
      <c r="X130" s="96"/>
      <c r="Y130" s="96"/>
      <c r="Z130" s="96"/>
      <c r="AA130" s="96"/>
      <c r="AB130" s="96"/>
      <c r="AC130" s="96"/>
      <c r="AD130" s="96"/>
      <c r="AE130" s="96"/>
      <c r="AF130" s="110"/>
      <c r="AG130" s="11"/>
      <c r="AH130" s="11"/>
      <c r="AI130" s="11"/>
      <c r="AJ130" s="11"/>
      <c r="AK130" s="11"/>
      <c r="AL130" s="11"/>
      <c r="AM130" s="11"/>
      <c r="AN130" s="250"/>
      <c r="AO130" s="25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96"/>
      <c r="BA130" s="11"/>
      <c r="BB130" s="11"/>
      <c r="BC130" s="96"/>
      <c r="BD130" s="11"/>
      <c r="BE130" s="96"/>
      <c r="BF130" s="11"/>
      <c r="BG130" s="11"/>
      <c r="BH130" s="11"/>
      <c r="BI130" s="11"/>
      <c r="BJ130" s="11"/>
      <c r="BK130" s="11"/>
      <c r="BL130" s="11"/>
      <c r="BM130" s="11"/>
      <c r="BN130" s="96"/>
      <c r="BO130" s="11"/>
      <c r="BP130" s="11"/>
      <c r="BQ130" s="11"/>
      <c r="BR130" s="11"/>
      <c r="BS130" s="11"/>
      <c r="BT130" s="11"/>
      <c r="BU130" s="11"/>
      <c r="BV130" s="11"/>
      <c r="BW130" s="96"/>
      <c r="BX130" s="11"/>
      <c r="BY130" s="11"/>
      <c r="BZ130" s="11"/>
      <c r="CA130" s="11"/>
      <c r="CB130" s="11"/>
      <c r="CC130" s="11"/>
      <c r="CD130" s="11"/>
      <c r="CE130" s="11"/>
      <c r="CF130" s="11"/>
      <c r="CG130" s="96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20"/>
      <c r="CV130" s="11"/>
      <c r="CW130" s="20"/>
      <c r="CX130" s="96"/>
      <c r="CY130" s="96"/>
      <c r="CZ130" s="11"/>
      <c r="DA130" s="26">
        <f t="shared" si="34"/>
        <v>60.589262918381422</v>
      </c>
      <c r="DB130" s="53" t="str">
        <f t="shared" si="35"/>
        <v>Trowbridge, Bianca</v>
      </c>
      <c r="DC130" s="68">
        <f t="shared" si="36"/>
        <v>0</v>
      </c>
      <c r="DD130" s="62">
        <v>60.589262918381422</v>
      </c>
      <c r="DE130" s="209">
        <f t="shared" si="37"/>
        <v>0</v>
      </c>
      <c r="DF130" s="115">
        <f t="shared" si="43"/>
        <v>0</v>
      </c>
      <c r="DG130" s="4">
        <f t="shared" si="38"/>
        <v>0</v>
      </c>
      <c r="DH130" s="115">
        <f t="shared" si="39"/>
        <v>0</v>
      </c>
      <c r="DI130" s="115" t="str">
        <f t="shared" si="40"/>
        <v>AK</v>
      </c>
      <c r="DJ130" s="62">
        <f>IF(COUNT(I130:U130)&lt;5,DA130,SUMPRODUCT(LARGE(I130:U130,{1,2,3,4,5}))/5)</f>
        <v>60.589262918381422</v>
      </c>
      <c r="DK130" s="62">
        <f>IF(COUNT(I130:AN130)&lt;5,DA130,SUMPRODUCT(LARGE(I130:AN130,{1,2,3,4,5}))/5)</f>
        <v>60.589262918381422</v>
      </c>
      <c r="DL130" s="209">
        <f>IF(COUNT(J130:CZ130)=0,0,SUMPRODUCT(LARGE(J130:CZ130,{1,2,3,4,5}))/5)</f>
        <v>0</v>
      </c>
      <c r="DM130" s="62">
        <f t="shared" si="31"/>
        <v>0</v>
      </c>
      <c r="DN130" s="13" t="str">
        <f t="shared" si="41"/>
        <v>Trowbridge, Bianca</v>
      </c>
      <c r="DO130" s="7"/>
      <c r="DP130" s="16"/>
      <c r="DQ130" s="9"/>
      <c r="DR130" s="9"/>
      <c r="DS130" s="121"/>
      <c r="DT130" s="128"/>
      <c r="DU130" s="128"/>
      <c r="DV130" s="128"/>
      <c r="DW130" s="13"/>
      <c r="DX130" s="13"/>
      <c r="DY130" s="92"/>
      <c r="DZ130" s="83"/>
      <c r="EA130" s="13"/>
      <c r="EB130" s="13"/>
      <c r="EC130" s="13"/>
      <c r="ED130" s="13"/>
      <c r="EE130" s="13"/>
      <c r="EF130" s="13"/>
      <c r="EG130" s="13"/>
      <c r="EI130" s="152"/>
    </row>
    <row r="131" spans="1:139" x14ac:dyDescent="0.2">
      <c r="A131" s="7">
        <v>128</v>
      </c>
      <c r="B131" s="119" t="s">
        <v>347</v>
      </c>
      <c r="C131" s="9"/>
      <c r="D131" s="9" t="s">
        <v>35</v>
      </c>
      <c r="E131" s="10">
        <v>80.359598428014465</v>
      </c>
      <c r="F131" s="82">
        <v>80.359598428014465</v>
      </c>
      <c r="G131" s="9">
        <f t="shared" si="33"/>
        <v>9</v>
      </c>
      <c r="H131" s="93">
        <v>0</v>
      </c>
      <c r="I131" s="46"/>
      <c r="J131" s="11"/>
      <c r="K131" s="11"/>
      <c r="L131" s="11"/>
      <c r="M131" s="11"/>
      <c r="N131" s="11"/>
      <c r="O131" s="11">
        <f>(INDEX('Race 7'!$E$8:$E$200,(MATCH($B131,'Race 7'!$B$8:$B$200,0)),1))*100</f>
        <v>78.362760004574668</v>
      </c>
      <c r="P131" s="11">
        <f>(INDEX('Race 8'!$E$8:$E$200,(MATCH($B131,'Race 8'!$B$8:$B$200,0)),1))*100</f>
        <v>83.142545585729096</v>
      </c>
      <c r="Q131" s="11">
        <f>(INDEX('Race 9'!$E$8:$E$200,(MATCH($B131,'Race 9'!$B$8:$B$200,0)),1))*100</f>
        <v>79.68792508016675</v>
      </c>
      <c r="R131" s="11">
        <f>(INDEX('Race 10'!$E$8:$E$200,(MATCH($B131,'Race 10'!$B$8:$B$200,0)),1))*100</f>
        <v>80.245163041587389</v>
      </c>
      <c r="S131" s="11"/>
      <c r="T131" s="96"/>
      <c r="U131" s="11"/>
      <c r="V131" s="11"/>
      <c r="W131" s="11"/>
      <c r="X131" s="96"/>
      <c r="Y131" s="96"/>
      <c r="Z131" s="96"/>
      <c r="AA131" s="96"/>
      <c r="AB131" s="96"/>
      <c r="AC131" s="96"/>
      <c r="AD131" s="96"/>
      <c r="AE131" s="96"/>
      <c r="AF131" s="110"/>
      <c r="AG131" s="11"/>
      <c r="AH131" s="11"/>
      <c r="AI131" s="11"/>
      <c r="AJ131" s="11"/>
      <c r="AK131" s="11"/>
      <c r="AL131" s="11"/>
      <c r="AM131" s="11"/>
      <c r="AN131" s="250"/>
      <c r="AO131" s="251"/>
      <c r="AP131" s="11"/>
      <c r="AQ131" s="11"/>
      <c r="AR131" s="11"/>
      <c r="AS131" s="11"/>
      <c r="AT131" s="11"/>
      <c r="AU131" s="11"/>
      <c r="AV131" s="11"/>
      <c r="AW131" s="11">
        <f>(INDEX('Race 41'!$E$8:$E$200,(MATCH($B131,'Race 41'!$B$8:$B$200,0)),1))*100</f>
        <v>70.102105340028459</v>
      </c>
      <c r="AX131" s="11">
        <f>(INDEX('Race 42'!$E$8:$E$200,(MATCH($B131,'Race 42'!$B$8:$B$200,0)),1))*100</f>
        <v>72.487728495221987</v>
      </c>
      <c r="AY131" s="11"/>
      <c r="AZ131" s="96"/>
      <c r="BA131" s="11"/>
      <c r="BB131" s="11"/>
      <c r="BC131" s="96"/>
      <c r="BD131" s="11"/>
      <c r="BE131" s="96"/>
      <c r="BF131" s="11"/>
      <c r="BG131" s="11"/>
      <c r="BH131" s="11"/>
      <c r="BI131" s="11"/>
      <c r="BJ131" s="11"/>
      <c r="BK131" s="11"/>
      <c r="BL131" s="11"/>
      <c r="BM131" s="11"/>
      <c r="BN131" s="96"/>
      <c r="BO131" s="11">
        <f>(INDEX('Race 59'!$E$8:$E$200,(MATCH($B131,'Race 59'!$B$8:$B$200,0)),1))*100</f>
        <v>76.236872789933599</v>
      </c>
      <c r="BP131" s="11"/>
      <c r="BQ131" s="11">
        <f>(INDEX('Race 61'!$E$8:$E$200,(MATCH($B131,'Race 61'!$B$8:$B$200,0)),1))*100</f>
        <v>82.297754889827715</v>
      </c>
      <c r="BR131" s="11"/>
      <c r="BS131" s="11"/>
      <c r="BT131" s="11"/>
      <c r="BU131" s="11"/>
      <c r="BV131" s="11"/>
      <c r="BW131" s="96">
        <f>(INDEX('Race 67'!$E$8:$E$200,(MATCH($B131,'Race 67'!$B$8:$B$200,0)),1))*100</f>
        <v>80.86353629730776</v>
      </c>
      <c r="BX131" s="11"/>
      <c r="BY131" s="11"/>
      <c r="BZ131" s="11"/>
      <c r="CA131" s="11"/>
      <c r="CB131" s="11"/>
      <c r="CC131" s="11"/>
      <c r="CD131" s="11"/>
      <c r="CE131" s="11"/>
      <c r="CF131" s="11"/>
      <c r="CG131" s="96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20"/>
      <c r="CV131" s="11"/>
      <c r="CW131" s="20"/>
      <c r="CX131" s="96"/>
      <c r="CY131" s="96"/>
      <c r="CZ131" s="11"/>
      <c r="DA131" s="26">
        <f t="shared" si="34"/>
        <v>78.158487947153034</v>
      </c>
      <c r="DB131" s="53" t="str">
        <f t="shared" si="35"/>
        <v>Tryfanava, Tatsiana</v>
      </c>
      <c r="DC131" s="68">
        <f t="shared" si="36"/>
        <v>1</v>
      </c>
      <c r="DD131" s="62">
        <v>66.367715995604314</v>
      </c>
      <c r="DE131" s="209">
        <f t="shared" si="37"/>
        <v>79.834317558144576</v>
      </c>
      <c r="DF131" s="115">
        <f t="shared" si="43"/>
        <v>4</v>
      </c>
      <c r="DG131" s="4">
        <f t="shared" si="38"/>
        <v>4</v>
      </c>
      <c r="DH131" s="115">
        <f t="shared" si="39"/>
        <v>9</v>
      </c>
      <c r="DI131" s="115" t="str">
        <f t="shared" si="40"/>
        <v>WY</v>
      </c>
      <c r="DJ131" s="62">
        <f>IF(COUNT(I131:U131)&lt;5,DA131,SUMPRODUCT(LARGE(I131:U131,{1,2,3,4,5}))/5)</f>
        <v>78.158487947153034</v>
      </c>
      <c r="DK131" s="62">
        <f>IF(COUNT(I131:AN131)&lt;5,DA131,SUMPRODUCT(LARGE(I131:AN131,{1,2,3,4,5}))/5)</f>
        <v>78.158487947153034</v>
      </c>
      <c r="DL131" s="209">
        <f>IF(COUNT(J131:CZ131)&lt;5,AVERAGE(J131:CZ131),SUMPRODUCT(LARGE(J131:CZ131,{1,2,3,4,5}))/5)</f>
        <v>81.247384978923733</v>
      </c>
      <c r="DM131" s="62">
        <f t="shared" si="31"/>
        <v>79.834317558144576</v>
      </c>
      <c r="DN131" s="13" t="str">
        <f t="shared" si="41"/>
        <v>Tryfanava, Tatsiana</v>
      </c>
      <c r="DO131" s="7"/>
      <c r="DP131" s="16"/>
      <c r="DQ131" s="9"/>
      <c r="DR131" s="9"/>
      <c r="DS131" s="121"/>
      <c r="DT131" s="128"/>
      <c r="DU131" s="128"/>
      <c r="DV131" s="128"/>
      <c r="DW131" s="13"/>
      <c r="DX131" s="13"/>
      <c r="DY131" s="92"/>
      <c r="DZ131" s="83"/>
      <c r="EA131" s="13"/>
      <c r="EB131" s="13"/>
      <c r="EC131" s="13"/>
      <c r="ED131" s="13"/>
      <c r="EE131" s="13"/>
      <c r="EF131" s="13"/>
      <c r="EG131" s="13"/>
      <c r="EI131" s="152"/>
    </row>
    <row r="132" spans="1:139" x14ac:dyDescent="0.2">
      <c r="A132" s="7">
        <v>129</v>
      </c>
      <c r="B132" s="245" t="s">
        <v>274</v>
      </c>
      <c r="C132" s="9" t="s">
        <v>5</v>
      </c>
      <c r="D132" s="9" t="s">
        <v>43</v>
      </c>
      <c r="E132" s="10">
        <v>56.188590898275621</v>
      </c>
      <c r="F132" s="82">
        <v>56.188590898275621</v>
      </c>
      <c r="G132" s="9">
        <f t="shared" ref="G132:G155" si="44">COUNT(I132:CZ132)</f>
        <v>0</v>
      </c>
      <c r="H132" s="93">
        <v>56.188590898275621</v>
      </c>
      <c r="I132" s="46"/>
      <c r="J132" s="79"/>
      <c r="K132" s="11"/>
      <c r="L132" s="11"/>
      <c r="M132" s="11"/>
      <c r="N132" s="11"/>
      <c r="O132" s="11"/>
      <c r="P132" s="11"/>
      <c r="Q132" s="11"/>
      <c r="R132" s="11"/>
      <c r="S132" s="11"/>
      <c r="T132" s="96"/>
      <c r="U132" s="11"/>
      <c r="V132" s="11"/>
      <c r="W132" s="11"/>
      <c r="X132" s="96"/>
      <c r="Y132" s="96"/>
      <c r="Z132" s="96"/>
      <c r="AA132" s="96"/>
      <c r="AB132" s="96"/>
      <c r="AC132" s="96"/>
      <c r="AD132" s="96"/>
      <c r="AE132" s="110"/>
      <c r="AF132" s="110"/>
      <c r="AG132" s="11"/>
      <c r="AH132" s="11"/>
      <c r="AI132" s="11"/>
      <c r="AJ132" s="11"/>
      <c r="AK132" s="11"/>
      <c r="AL132" s="11"/>
      <c r="AM132" s="11"/>
      <c r="AN132" s="250"/>
      <c r="AO132" s="25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96"/>
      <c r="BA132" s="11"/>
      <c r="BB132" s="11"/>
      <c r="BC132" s="96"/>
      <c r="BD132" s="11"/>
      <c r="BE132" s="96"/>
      <c r="BF132" s="11"/>
      <c r="BG132" s="11"/>
      <c r="BH132" s="11"/>
      <c r="BI132" s="11"/>
      <c r="BJ132" s="11"/>
      <c r="BK132" s="11"/>
      <c r="BL132" s="11"/>
      <c r="BM132" s="11"/>
      <c r="BN132" s="96"/>
      <c r="BO132" s="11"/>
      <c r="BP132" s="11"/>
      <c r="BQ132" s="11"/>
      <c r="BR132" s="11"/>
      <c r="BS132" s="11"/>
      <c r="BT132" s="11"/>
      <c r="BU132" s="11"/>
      <c r="BV132" s="11"/>
      <c r="BW132" s="96"/>
      <c r="BX132" s="11"/>
      <c r="BY132" s="11"/>
      <c r="BZ132" s="11"/>
      <c r="CA132" s="11"/>
      <c r="CB132" s="11"/>
      <c r="CC132" s="11"/>
      <c r="CD132" s="11"/>
      <c r="CE132" s="11"/>
      <c r="CF132" s="11"/>
      <c r="CG132" s="96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96"/>
      <c r="CY132" s="96"/>
      <c r="CZ132" s="11"/>
      <c r="DA132" s="26">
        <f t="shared" ref="DA132:DA153" si="45">IF(DC132&gt;0,AVERAGE(I132:CZ132),H132)</f>
        <v>56.188590898275621</v>
      </c>
      <c r="DB132" s="42" t="str">
        <f t="shared" ref="DB132:DB153" si="46">B132</f>
        <v>TURNER, Jamie</v>
      </c>
      <c r="DC132" s="43">
        <f t="shared" ref="DC132:DC153" si="47">IF(G132&gt;0,1,0)</f>
        <v>0</v>
      </c>
      <c r="DD132" s="62">
        <v>56.188590898275621</v>
      </c>
      <c r="DE132" s="62">
        <f t="shared" ref="DE132:DE153" si="48">DM132</f>
        <v>0</v>
      </c>
      <c r="DF132" s="4">
        <f t="shared" si="43"/>
        <v>0</v>
      </c>
      <c r="DG132" s="4">
        <f t="shared" ref="DG132:DG153" si="49">COUNT(I132:AT132)</f>
        <v>0</v>
      </c>
      <c r="DH132" s="4">
        <f t="shared" ref="DH132:DH153" si="50">COUNT(I132:CZ132)</f>
        <v>0</v>
      </c>
      <c r="DI132" s="4" t="str">
        <f t="shared" ref="DI132:DI153" si="51">D132</f>
        <v>UT</v>
      </c>
      <c r="DJ132" s="62">
        <f>IF(COUNT(I132:U132)&lt;5,DA132,SUMPRODUCT(LARGE(I132:U132,{1,2,3,4,5}))/5)</f>
        <v>56.188590898275621</v>
      </c>
      <c r="DK132" s="62">
        <f>IF(COUNT(I132:AN132)&lt;5,DA132,SUMPRODUCT(LARGE(I132:AN132,{1,2,3,4,5}))/5)</f>
        <v>56.188590898275621</v>
      </c>
      <c r="DL132" s="209">
        <f>IF(COUNT(J132:CZ132)=0,0,SUMPRODUCT(LARGE(J132:CZ132,{1,2,3,4,5}))/5)</f>
        <v>0</v>
      </c>
      <c r="DM132" s="62">
        <f t="shared" si="31"/>
        <v>0</v>
      </c>
      <c r="DN132" s="13" t="str">
        <f t="shared" ref="DN132:DN153" si="52">B132</f>
        <v>TURNER, Jamie</v>
      </c>
      <c r="DO132" s="7"/>
      <c r="DP132" s="16"/>
      <c r="DQ132" s="9"/>
      <c r="DR132" s="9"/>
      <c r="DS132" s="121"/>
      <c r="DT132" s="128"/>
      <c r="DU132" s="128"/>
      <c r="DV132" s="128"/>
      <c r="DW132" s="13"/>
      <c r="DX132" s="13"/>
      <c r="DY132" s="92"/>
      <c r="DZ132" s="83"/>
      <c r="EA132" s="13"/>
      <c r="EB132" s="13"/>
      <c r="EC132" s="13"/>
      <c r="ED132" s="13"/>
      <c r="EE132" s="13"/>
      <c r="EF132" s="13"/>
      <c r="EG132" s="13"/>
      <c r="EI132" s="152"/>
    </row>
    <row r="133" spans="1:139" x14ac:dyDescent="0.2">
      <c r="A133" s="7">
        <v>130</v>
      </c>
      <c r="B133" s="8" t="s">
        <v>444</v>
      </c>
      <c r="C133" s="9" t="s">
        <v>5</v>
      </c>
      <c r="D133" s="9" t="s">
        <v>37</v>
      </c>
      <c r="E133" s="10">
        <v>0</v>
      </c>
      <c r="F133" s="82">
        <v>0</v>
      </c>
      <c r="G133" s="9">
        <f t="shared" si="44"/>
        <v>1</v>
      </c>
      <c r="H133" s="93">
        <v>0</v>
      </c>
      <c r="I133" s="46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96"/>
      <c r="U133" s="11"/>
      <c r="V133" s="11"/>
      <c r="W133" s="11"/>
      <c r="X133" s="96"/>
      <c r="Y133" s="96"/>
      <c r="Z133" s="96"/>
      <c r="AA133" s="96"/>
      <c r="AB133" s="96"/>
      <c r="AC133" s="96"/>
      <c r="AD133" s="96"/>
      <c r="AE133" s="96"/>
      <c r="AF133" s="110"/>
      <c r="AG133" s="11"/>
      <c r="AH133" s="11"/>
      <c r="AI133" s="11"/>
      <c r="AJ133" s="11"/>
      <c r="AK133" s="11"/>
      <c r="AL133" s="11"/>
      <c r="AM133" s="11"/>
      <c r="AN133" s="250"/>
      <c r="AO133" s="251"/>
      <c r="AP133" s="11"/>
      <c r="AQ133" s="11"/>
      <c r="AR133" s="11"/>
      <c r="AS133" s="11"/>
      <c r="AT133" s="11"/>
      <c r="AU133" s="11"/>
      <c r="AV133" s="11"/>
      <c r="AW133" s="11"/>
      <c r="AX133" s="11">
        <f>(INDEX('Race 42'!$E$8:$E$200,(MATCH($B133,'Race 42'!$B$8:$B$200,0)),1))*100</f>
        <v>38.140257312052753</v>
      </c>
      <c r="AY133" s="11"/>
      <c r="AZ133" s="96"/>
      <c r="BA133" s="11"/>
      <c r="BB133" s="96"/>
      <c r="BC133" s="96"/>
      <c r="BD133" s="11"/>
      <c r="BE133" s="96"/>
      <c r="BF133" s="11"/>
      <c r="BG133" s="11"/>
      <c r="BH133" s="11"/>
      <c r="BI133" s="11"/>
      <c r="BJ133" s="11"/>
      <c r="BK133" s="11"/>
      <c r="BL133" s="11"/>
      <c r="BM133" s="11"/>
      <c r="BN133" s="96"/>
      <c r="BO133" s="11"/>
      <c r="BP133" s="11"/>
      <c r="BQ133" s="11"/>
      <c r="BR133" s="11"/>
      <c r="BS133" s="11"/>
      <c r="BT133" s="11"/>
      <c r="BU133" s="11"/>
      <c r="BV133" s="11"/>
      <c r="BW133" s="96"/>
      <c r="BX133" s="11"/>
      <c r="BY133" s="11"/>
      <c r="BZ133" s="11"/>
      <c r="CA133" s="11"/>
      <c r="CB133" s="11"/>
      <c r="CC133" s="11"/>
      <c r="CD133" s="11"/>
      <c r="CE133" s="11"/>
      <c r="CF133" s="11"/>
      <c r="CG133" s="96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20"/>
      <c r="CV133" s="11"/>
      <c r="CW133" s="20"/>
      <c r="CX133" s="96"/>
      <c r="CY133" s="96"/>
      <c r="CZ133" s="11"/>
      <c r="DA133" s="26">
        <f t="shared" si="45"/>
        <v>38.140257312052753</v>
      </c>
      <c r="DB133" s="53" t="str">
        <f t="shared" si="46"/>
        <v>Underwood, Sasha</v>
      </c>
      <c r="DC133" s="68">
        <f t="shared" si="47"/>
        <v>1</v>
      </c>
      <c r="DD133" s="62">
        <v>66.367715995604314</v>
      </c>
      <c r="DE133" s="209">
        <f t="shared" si="48"/>
        <v>37.476915900611921</v>
      </c>
      <c r="DF133" s="115">
        <f t="shared" si="43"/>
        <v>0</v>
      </c>
      <c r="DG133" s="4">
        <f t="shared" si="49"/>
        <v>0</v>
      </c>
      <c r="DH133" s="115">
        <f t="shared" si="50"/>
        <v>1</v>
      </c>
      <c r="DI133" s="115" t="str">
        <f t="shared" si="51"/>
        <v>CO</v>
      </c>
      <c r="DJ133" s="62">
        <f>IF(COUNT(I133:U133)&lt;5,DA133,SUMPRODUCT(LARGE(I133:U133,{1,2,3,4,5}))/5)</f>
        <v>38.140257312052753</v>
      </c>
      <c r="DK133" s="62">
        <f>IF(COUNT(I133:AN133)&lt;5,DA133,SUMPRODUCT(LARGE(I133:AN133,{1,2,3,4,5}))/5)</f>
        <v>38.140257312052753</v>
      </c>
      <c r="DL133" s="209">
        <f>IF(COUNT(J133:CZ133)&lt;5,AVERAGE(J133:CZ133),SUMPRODUCT(LARGE(J133:CZ133,{1,2,3,4,5}))/5)</f>
        <v>38.140257312052753</v>
      </c>
      <c r="DM133" s="62">
        <f t="shared" ref="DM133:DM167" si="53">(DL133*100)/101.77</f>
        <v>37.476915900611921</v>
      </c>
      <c r="DN133" s="13" t="str">
        <f t="shared" si="52"/>
        <v>Underwood, Sasha</v>
      </c>
      <c r="DO133" s="7"/>
      <c r="DP133" s="16"/>
      <c r="DQ133" s="9"/>
      <c r="DR133" s="9"/>
      <c r="DS133" s="121"/>
      <c r="DT133" s="128"/>
      <c r="DU133" s="128"/>
      <c r="DV133" s="128"/>
      <c r="DW133" s="13"/>
      <c r="DX133" s="13"/>
      <c r="DY133" s="92"/>
      <c r="DZ133" s="83"/>
      <c r="EA133" s="13"/>
      <c r="EB133" s="13"/>
      <c r="EC133" s="13"/>
      <c r="ED133" s="13"/>
      <c r="EE133" s="13"/>
      <c r="EF133" s="13"/>
      <c r="EG133" s="13"/>
      <c r="EI133" s="152"/>
    </row>
    <row r="134" spans="1:139" x14ac:dyDescent="0.2">
      <c r="A134" s="7">
        <v>131</v>
      </c>
      <c r="B134" s="119" t="s">
        <v>413</v>
      </c>
      <c r="C134" s="9" t="s">
        <v>5</v>
      </c>
      <c r="D134" s="9" t="s">
        <v>41</v>
      </c>
      <c r="E134" s="10">
        <v>0</v>
      </c>
      <c r="F134" s="82">
        <v>44.597298920341146</v>
      </c>
      <c r="G134" s="9">
        <f t="shared" si="44"/>
        <v>4</v>
      </c>
      <c r="H134" s="93">
        <v>0</v>
      </c>
      <c r="I134" s="46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96"/>
      <c r="U134" s="11"/>
      <c r="V134" s="11"/>
      <c r="W134" s="11"/>
      <c r="X134" s="96"/>
      <c r="Y134" s="96"/>
      <c r="Z134" s="96"/>
      <c r="AA134" s="96"/>
      <c r="AB134" s="96"/>
      <c r="AC134" s="96"/>
      <c r="AD134" s="96"/>
      <c r="AE134" s="96"/>
      <c r="AF134" s="110"/>
      <c r="AG134" s="11"/>
      <c r="AH134" s="11"/>
      <c r="AI134" s="11"/>
      <c r="AJ134" s="11"/>
      <c r="AK134" s="11"/>
      <c r="AL134" s="11"/>
      <c r="AM134" s="11">
        <f>(INDEX('Race 31'!$E$8:$E$200,(MATCH($B134,'Race 31'!$B$8:$B$200,0)),1))*100</f>
        <v>43.225238039806236</v>
      </c>
      <c r="AN134" s="250">
        <f>(INDEX('Race 32'!$E$8:$E$200,(MATCH($B134,'Race 32'!$B$8:$B$200,0)),1))*100</f>
        <v>45.969359800876056</v>
      </c>
      <c r="AO134" s="25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96"/>
      <c r="BA134" s="11"/>
      <c r="BB134" s="11"/>
      <c r="BC134" s="96"/>
      <c r="BD134" s="11"/>
      <c r="BE134" s="96"/>
      <c r="BF134" s="11"/>
      <c r="BG134" s="11"/>
      <c r="BH134" s="11">
        <f>(INDEX('Race 52'!$E$8:$E$200,(MATCH($B134,'Race 52'!$B$8:$B$200,0)),1))*100</f>
        <v>41.655655703661495</v>
      </c>
      <c r="BI134" s="11">
        <f>(INDEX('Race 53'!$E$8:$E$200,(MATCH($B134,'Race 53'!$B$8:$B$200,0)),1))*100</f>
        <v>39.144215235233226</v>
      </c>
      <c r="BJ134" s="11"/>
      <c r="BK134" s="11"/>
      <c r="BL134" s="11"/>
      <c r="BM134" s="11"/>
      <c r="BN134" s="96"/>
      <c r="BO134" s="11"/>
      <c r="BP134" s="11"/>
      <c r="BQ134" s="11"/>
      <c r="BR134" s="11"/>
      <c r="BS134" s="11"/>
      <c r="BT134" s="11"/>
      <c r="BU134" s="11"/>
      <c r="BV134" s="11"/>
      <c r="BW134" s="96"/>
      <c r="BX134" s="11"/>
      <c r="BY134" s="11"/>
      <c r="BZ134" s="11"/>
      <c r="CA134" s="11"/>
      <c r="CB134" s="11"/>
      <c r="CC134" s="11"/>
      <c r="CD134" s="11"/>
      <c r="CE134" s="11"/>
      <c r="CF134" s="11"/>
      <c r="CG134" s="96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20"/>
      <c r="CV134" s="11"/>
      <c r="CW134" s="20"/>
      <c r="CX134" s="96"/>
      <c r="CY134" s="96"/>
      <c r="CZ134" s="11"/>
      <c r="DA134" s="26">
        <f t="shared" si="45"/>
        <v>42.498617194894251</v>
      </c>
      <c r="DB134" s="53" t="str">
        <f t="shared" si="46"/>
        <v>Vacura, Julie</v>
      </c>
      <c r="DC134" s="68">
        <f t="shared" si="47"/>
        <v>1</v>
      </c>
      <c r="DD134" s="62">
        <v>66.367715995604314</v>
      </c>
      <c r="DE134" s="209">
        <f t="shared" si="48"/>
        <v>41.759474496309572</v>
      </c>
      <c r="DF134" s="115">
        <f t="shared" si="43"/>
        <v>0</v>
      </c>
      <c r="DG134" s="4">
        <f t="shared" si="49"/>
        <v>2</v>
      </c>
      <c r="DH134" s="115">
        <f t="shared" si="50"/>
        <v>4</v>
      </c>
      <c r="DI134" s="115" t="str">
        <f t="shared" si="51"/>
        <v>MT</v>
      </c>
      <c r="DJ134" s="62">
        <f>IF(COUNT(I134:U134)&lt;5,DA134,SUMPRODUCT(LARGE(I134:U134,{1,2,3,4,5}))/5)</f>
        <v>42.498617194894251</v>
      </c>
      <c r="DK134" s="62">
        <f>IF(COUNT(I134:AN134)&lt;5,DA134,SUMPRODUCT(LARGE(I134:AN134,{1,2,3,4,5}))/5)</f>
        <v>42.498617194894251</v>
      </c>
      <c r="DL134" s="209">
        <f>IF(COUNT(J134:CZ134)&lt;5,AVERAGE(J134:CZ134),SUMPRODUCT(LARGE(J134:CZ134,{1,2,3,4,5}))/5)</f>
        <v>42.498617194894251</v>
      </c>
      <c r="DM134" s="62">
        <f t="shared" si="53"/>
        <v>41.759474496309572</v>
      </c>
      <c r="DN134" s="13" t="str">
        <f t="shared" si="52"/>
        <v>Vacura, Julie</v>
      </c>
      <c r="DO134" s="7"/>
      <c r="DP134" s="16"/>
      <c r="DQ134" s="9"/>
      <c r="DR134" s="9"/>
      <c r="DS134" s="121"/>
      <c r="DT134" s="128"/>
      <c r="DU134" s="128"/>
      <c r="DV134" s="128"/>
      <c r="DW134" s="13"/>
      <c r="DX134" s="13"/>
      <c r="DY134" s="92"/>
      <c r="DZ134" s="83"/>
      <c r="EA134" s="13"/>
      <c r="EB134" s="13"/>
      <c r="EC134" s="13"/>
      <c r="ED134" s="13"/>
      <c r="EE134" s="13"/>
      <c r="EF134" s="13"/>
      <c r="EG134" s="13"/>
      <c r="EI134" s="152"/>
    </row>
    <row r="135" spans="1:139" x14ac:dyDescent="0.2">
      <c r="A135" s="7">
        <v>132</v>
      </c>
      <c r="B135" s="8" t="s">
        <v>458</v>
      </c>
      <c r="C135" s="9" t="s">
        <v>5</v>
      </c>
      <c r="D135" s="9" t="s">
        <v>51</v>
      </c>
      <c r="E135" s="10">
        <v>0</v>
      </c>
      <c r="F135" s="82">
        <v>0</v>
      </c>
      <c r="G135" s="9">
        <f t="shared" si="44"/>
        <v>1</v>
      </c>
      <c r="H135" s="93">
        <v>0</v>
      </c>
      <c r="I135" s="46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96"/>
      <c r="U135" s="11"/>
      <c r="V135" s="11"/>
      <c r="W135" s="11"/>
      <c r="X135" s="96"/>
      <c r="Y135" s="96"/>
      <c r="Z135" s="96"/>
      <c r="AA135" s="96"/>
      <c r="AB135" s="96"/>
      <c r="AC135" s="96"/>
      <c r="AD135" s="96"/>
      <c r="AE135" s="96"/>
      <c r="AF135" s="110"/>
      <c r="AG135" s="11"/>
      <c r="AH135" s="11"/>
      <c r="AI135" s="11"/>
      <c r="AJ135" s="11"/>
      <c r="AK135" s="11"/>
      <c r="AL135" s="11"/>
      <c r="AM135" s="11"/>
      <c r="AN135" s="250"/>
      <c r="AO135" s="25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96"/>
      <c r="BA135" s="11"/>
      <c r="BB135" s="11"/>
      <c r="BC135" s="96"/>
      <c r="BD135" s="11"/>
      <c r="BE135" s="96"/>
      <c r="BF135" s="11"/>
      <c r="BG135" s="11">
        <f>(INDEX('Race 51'!$E$8:$E$200,(MATCH($B135,'Race 51'!$B$8:$B$200,0)),1))*100</f>
        <v>65.845168136774546</v>
      </c>
      <c r="BH135" s="11"/>
      <c r="BI135" s="11"/>
      <c r="BJ135" s="11"/>
      <c r="BK135" s="11"/>
      <c r="BL135" s="11"/>
      <c r="BM135" s="11"/>
      <c r="BN135" s="96"/>
      <c r="BO135" s="11"/>
      <c r="BP135" s="11"/>
      <c r="BQ135" s="11"/>
      <c r="BR135" s="11"/>
      <c r="BS135" s="11"/>
      <c r="BT135" s="11"/>
      <c r="BU135" s="11"/>
      <c r="BV135" s="11"/>
      <c r="BW135" s="96"/>
      <c r="BX135" s="11"/>
      <c r="BY135" s="11"/>
      <c r="BZ135" s="11"/>
      <c r="CA135" s="11"/>
      <c r="CB135" s="11"/>
      <c r="CC135" s="11"/>
      <c r="CD135" s="11"/>
      <c r="CE135" s="11"/>
      <c r="CF135" s="11"/>
      <c r="CG135" s="96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20"/>
      <c r="CV135" s="11"/>
      <c r="CW135" s="20"/>
      <c r="CX135" s="96"/>
      <c r="CY135" s="96"/>
      <c r="CZ135" s="11"/>
      <c r="DA135" s="26">
        <f t="shared" si="45"/>
        <v>65.845168136774546</v>
      </c>
      <c r="DB135" s="53" t="str">
        <f t="shared" si="46"/>
        <v>Valaas, Laura</v>
      </c>
      <c r="DC135" s="68">
        <f t="shared" si="47"/>
        <v>1</v>
      </c>
      <c r="DD135" s="62">
        <v>0</v>
      </c>
      <c r="DE135" s="209">
        <f t="shared" si="48"/>
        <v>64.69997851702324</v>
      </c>
      <c r="DF135" s="115">
        <f t="shared" si="43"/>
        <v>0</v>
      </c>
      <c r="DG135" s="4">
        <f t="shared" si="49"/>
        <v>0</v>
      </c>
      <c r="DH135" s="115">
        <f t="shared" si="50"/>
        <v>1</v>
      </c>
      <c r="DI135" s="115" t="str">
        <f t="shared" si="51"/>
        <v>WI</v>
      </c>
      <c r="DJ135" s="62">
        <f>IF(COUNT(I135:U135)&lt;5,DA135,SUMPRODUCT(LARGE(I135:U135,{1,2,3,4,5}))/5)</f>
        <v>65.845168136774546</v>
      </c>
      <c r="DK135" s="62">
        <f>IF(COUNT(I135:AN135)&lt;5,DA135,SUMPRODUCT(LARGE(I135:AN135,{1,2,3,4,5}))/5)</f>
        <v>65.845168136774546</v>
      </c>
      <c r="DL135" s="209">
        <f>IF(COUNT(J135:CZ135)&lt;5,AVERAGE(J135:CZ135),SUMPRODUCT(LARGE(J135:CZ135,{1,2,3,4,5}))/5)</f>
        <v>65.845168136774546</v>
      </c>
      <c r="DM135" s="62">
        <f t="shared" si="53"/>
        <v>64.69997851702324</v>
      </c>
      <c r="DN135" s="13" t="str">
        <f t="shared" si="52"/>
        <v>Valaas, Laura</v>
      </c>
      <c r="DO135" s="7"/>
      <c r="DP135" s="16"/>
      <c r="DQ135" s="9"/>
      <c r="DR135" s="9"/>
      <c r="DS135" s="121"/>
      <c r="DT135" s="128"/>
      <c r="DU135" s="128"/>
      <c r="DV135" s="128"/>
      <c r="DW135" s="13"/>
      <c r="DX135" s="13"/>
      <c r="DY135" s="92"/>
      <c r="DZ135" s="83"/>
      <c r="EA135" s="13"/>
      <c r="EB135" s="13"/>
      <c r="EC135" s="13"/>
      <c r="ED135" s="13"/>
      <c r="EE135" s="13"/>
      <c r="EF135" s="13"/>
      <c r="EG135" s="13"/>
      <c r="EI135" s="152"/>
    </row>
    <row r="136" spans="1:139" x14ac:dyDescent="0.2">
      <c r="A136" s="7">
        <v>133</v>
      </c>
      <c r="B136" s="119" t="s">
        <v>232</v>
      </c>
      <c r="C136" s="9" t="s">
        <v>5</v>
      </c>
      <c r="D136" s="9" t="s">
        <v>39</v>
      </c>
      <c r="E136" s="10">
        <v>51.757156474298945</v>
      </c>
      <c r="F136" s="82">
        <v>53.320357367520515</v>
      </c>
      <c r="G136" s="9">
        <f t="shared" si="44"/>
        <v>4</v>
      </c>
      <c r="H136" s="93">
        <v>51.757156474298945</v>
      </c>
      <c r="I136" s="46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96"/>
      <c r="U136" s="11"/>
      <c r="V136" s="11"/>
      <c r="W136" s="11"/>
      <c r="X136" s="96"/>
      <c r="Y136" s="96"/>
      <c r="Z136" s="96"/>
      <c r="AA136" s="96"/>
      <c r="AB136" s="96"/>
      <c r="AC136" s="96"/>
      <c r="AD136" s="96"/>
      <c r="AE136" s="96"/>
      <c r="AF136" s="110"/>
      <c r="AG136" s="11"/>
      <c r="AH136" s="11"/>
      <c r="AI136" s="11"/>
      <c r="AJ136" s="11"/>
      <c r="AK136" s="11">
        <f>(INDEX('Race 29'!$E$8:$E$200,(MATCH($B136,'Race 29'!$B$8:$B$200,0)),1))*100</f>
        <v>54.093282074321394</v>
      </c>
      <c r="AL136" s="11">
        <f>(INDEX('Race 30'!$E$8:$E$200,(MATCH($B136,'Race 30'!$B$8:$B$200,0)),1))*100</f>
        <v>52.547432660719629</v>
      </c>
      <c r="AM136" s="11"/>
      <c r="AN136" s="250"/>
      <c r="AO136" s="251"/>
      <c r="AP136" s="11">
        <f>(INDEX('Race 34'!$E$8:$E$200,(MATCH($B136,'Race 34'!$B$8:$B$200,0)),1))*100</f>
        <v>58.025738660740778</v>
      </c>
      <c r="AQ136" s="11"/>
      <c r="AR136" s="11"/>
      <c r="AS136" s="11"/>
      <c r="AT136" s="11"/>
      <c r="AU136" s="11"/>
      <c r="AV136" s="11">
        <f>(INDEX('Race 40'!$E$8:$E$200,(MATCH($B136,'Race 40'!$B$8:$B$200,0)),1))*100</f>
        <v>52.100888990838989</v>
      </c>
      <c r="AW136" s="11"/>
      <c r="AX136" s="11"/>
      <c r="AY136" s="11"/>
      <c r="AZ136" s="96"/>
      <c r="BA136" s="11"/>
      <c r="BB136" s="11"/>
      <c r="BC136" s="96"/>
      <c r="BD136" s="11"/>
      <c r="BE136" s="96"/>
      <c r="BF136" s="11"/>
      <c r="BG136" s="11"/>
      <c r="BH136" s="11"/>
      <c r="BI136" s="11"/>
      <c r="BJ136" s="11"/>
      <c r="BK136" s="11"/>
      <c r="BL136" s="11"/>
      <c r="BM136" s="11"/>
      <c r="BN136" s="96"/>
      <c r="BO136" s="11"/>
      <c r="BP136" s="11"/>
      <c r="BQ136" s="11"/>
      <c r="BR136" s="11"/>
      <c r="BS136" s="11"/>
      <c r="BT136" s="11"/>
      <c r="BU136" s="11"/>
      <c r="BV136" s="11"/>
      <c r="BW136" s="96"/>
      <c r="BX136" s="11"/>
      <c r="BY136" s="11"/>
      <c r="BZ136" s="11"/>
      <c r="CA136" s="11"/>
      <c r="CB136" s="11"/>
      <c r="CC136" s="11"/>
      <c r="CD136" s="11"/>
      <c r="CE136" s="11"/>
      <c r="CF136" s="11"/>
      <c r="CG136" s="96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20"/>
      <c r="CV136" s="11"/>
      <c r="CW136" s="20"/>
      <c r="CX136" s="96"/>
      <c r="CY136" s="96"/>
      <c r="CZ136" s="11"/>
      <c r="DA136" s="26">
        <f t="shared" si="45"/>
        <v>54.191835596655203</v>
      </c>
      <c r="DB136" s="42" t="str">
        <f t="shared" si="46"/>
        <v>Valera, Shannon</v>
      </c>
      <c r="DC136" s="43">
        <f t="shared" si="47"/>
        <v>1</v>
      </c>
      <c r="DD136" s="62">
        <v>51.757156474298945</v>
      </c>
      <c r="DE136" s="62">
        <f t="shared" si="48"/>
        <v>53.249322586867649</v>
      </c>
      <c r="DF136" s="4">
        <f t="shared" si="43"/>
        <v>0</v>
      </c>
      <c r="DG136" s="4">
        <f t="shared" si="49"/>
        <v>3</v>
      </c>
      <c r="DH136" s="4">
        <f t="shared" si="50"/>
        <v>4</v>
      </c>
      <c r="DI136" s="4" t="str">
        <f t="shared" si="51"/>
        <v>NH</v>
      </c>
      <c r="DJ136" s="62">
        <f>IF(COUNT(I136:U136)&lt;5,DD136,SUMPRODUCT(LARGE(I136:U136,{1,2,3,4,5}))/5)</f>
        <v>51.757156474298945</v>
      </c>
      <c r="DK136" s="62">
        <f>IF(COUNT(I136:AN136)&lt;5,DA136,SUMPRODUCT(LARGE(I136:AN136,{1,2,3,4,5}))/5)</f>
        <v>54.191835596655203</v>
      </c>
      <c r="DL136" s="62">
        <f>IF(COUNT(J136:CZ136)&lt;5,AVERAGE(J136:CZ136),SUMPRODUCT(LARGE(J136:CZ136,{1,2,3,4,5}))/5)</f>
        <v>54.191835596655203</v>
      </c>
      <c r="DM136" s="62">
        <f t="shared" si="53"/>
        <v>53.249322586867649</v>
      </c>
      <c r="DN136" s="13" t="str">
        <f t="shared" si="52"/>
        <v>Valera, Shannon</v>
      </c>
      <c r="DO136" s="7"/>
      <c r="DP136" s="16"/>
      <c r="DQ136" s="9"/>
      <c r="DR136" s="9"/>
      <c r="DS136" s="121"/>
      <c r="DT136" s="128"/>
      <c r="DU136" s="128"/>
      <c r="DV136" s="128"/>
      <c r="DW136" s="13"/>
      <c r="DX136" s="13"/>
      <c r="DY136" s="92"/>
      <c r="DZ136" s="83"/>
      <c r="EA136" s="13"/>
      <c r="EB136" s="13"/>
      <c r="EC136" s="13"/>
      <c r="ED136" s="13"/>
      <c r="EE136" s="13"/>
      <c r="EF136" s="13"/>
      <c r="EG136" s="13"/>
      <c r="EI136" s="152"/>
    </row>
    <row r="137" spans="1:139" x14ac:dyDescent="0.2">
      <c r="A137" s="7">
        <v>134</v>
      </c>
      <c r="B137" s="119" t="s">
        <v>352</v>
      </c>
      <c r="C137" s="9" t="s">
        <v>6</v>
      </c>
      <c r="D137" s="9" t="s">
        <v>31</v>
      </c>
      <c r="E137" s="10">
        <v>65.582474780759526</v>
      </c>
      <c r="F137" s="82">
        <v>65.582474780759526</v>
      </c>
      <c r="G137" s="9">
        <f t="shared" si="44"/>
        <v>3</v>
      </c>
      <c r="H137" s="93">
        <v>0</v>
      </c>
      <c r="I137" s="46"/>
      <c r="J137" s="11"/>
      <c r="K137" s="11"/>
      <c r="L137" s="11"/>
      <c r="M137" s="11"/>
      <c r="N137" s="11"/>
      <c r="O137" s="11"/>
      <c r="P137" s="11"/>
      <c r="Q137" s="11"/>
      <c r="R137" s="11"/>
      <c r="S137" s="11">
        <f>(INDEX('Race 11'!$E$8:$E$200,(MATCH($B137,'Race 11'!$B$8:$B$200,0)),1))*100</f>
        <v>71.522361463674685</v>
      </c>
      <c r="T137" s="11">
        <f>(INDEX('Race 12'!$E$8:$E$200,(MATCH($B137,'Race 12'!$B$8:$B$200,0)),1))*100</f>
        <v>59.37351235155738</v>
      </c>
      <c r="U137" s="11">
        <f>(INDEX('Race 13'!$E$8:$E$200,(MATCH($B137,'Race 13'!$B$8:$B$200,0)),1))*100</f>
        <v>65.851550527046527</v>
      </c>
      <c r="V137" s="11"/>
      <c r="W137" s="11"/>
      <c r="X137" s="96"/>
      <c r="Y137" s="96"/>
      <c r="Z137" s="96"/>
      <c r="AA137" s="96"/>
      <c r="AB137" s="96"/>
      <c r="AC137" s="96"/>
      <c r="AD137" s="96"/>
      <c r="AE137" s="96"/>
      <c r="AF137" s="110"/>
      <c r="AG137" s="11"/>
      <c r="AH137" s="11"/>
      <c r="AI137" s="11"/>
      <c r="AJ137" s="11"/>
      <c r="AK137" s="11"/>
      <c r="AL137" s="11"/>
      <c r="AM137" s="11"/>
      <c r="AN137" s="250"/>
      <c r="AO137" s="25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96"/>
      <c r="BA137" s="11"/>
      <c r="BB137" s="11"/>
      <c r="BC137" s="96"/>
      <c r="BD137" s="11"/>
      <c r="BE137" s="96"/>
      <c r="BF137" s="11"/>
      <c r="BG137" s="11"/>
      <c r="BH137" s="11"/>
      <c r="BI137" s="11"/>
      <c r="BJ137" s="11"/>
      <c r="BK137" s="11"/>
      <c r="BL137" s="11"/>
      <c r="BM137" s="11"/>
      <c r="BN137" s="96"/>
      <c r="BO137" s="11"/>
      <c r="BP137" s="11"/>
      <c r="BQ137" s="11"/>
      <c r="BR137" s="11"/>
      <c r="BS137" s="11"/>
      <c r="BT137" s="11"/>
      <c r="BU137" s="11"/>
      <c r="BV137" s="11"/>
      <c r="BW137" s="96"/>
      <c r="BX137" s="11"/>
      <c r="BY137" s="11"/>
      <c r="BZ137" s="11"/>
      <c r="CA137" s="11"/>
      <c r="CB137" s="11"/>
      <c r="CC137" s="11"/>
      <c r="CD137" s="11"/>
      <c r="CE137" s="11"/>
      <c r="CF137" s="11"/>
      <c r="CG137" s="96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20"/>
      <c r="CV137" s="11"/>
      <c r="CW137" s="20"/>
      <c r="CX137" s="96"/>
      <c r="CY137" s="96"/>
      <c r="CZ137" s="11"/>
      <c r="DA137" s="26">
        <f t="shared" si="45"/>
        <v>65.582474780759526</v>
      </c>
      <c r="DB137" s="53" t="str">
        <f t="shared" si="46"/>
        <v>Viren, Annika</v>
      </c>
      <c r="DC137" s="68">
        <f t="shared" si="47"/>
        <v>1</v>
      </c>
      <c r="DD137" s="62">
        <v>66.367715995604314</v>
      </c>
      <c r="DE137" s="209">
        <f t="shared" si="48"/>
        <v>64.441853965568967</v>
      </c>
      <c r="DF137" s="115">
        <f t="shared" si="43"/>
        <v>3</v>
      </c>
      <c r="DG137" s="4">
        <f t="shared" si="49"/>
        <v>3</v>
      </c>
      <c r="DH137" s="115">
        <f t="shared" si="50"/>
        <v>3</v>
      </c>
      <c r="DI137" s="115" t="str">
        <f t="shared" si="51"/>
        <v>MN</v>
      </c>
      <c r="DJ137" s="62">
        <f>IF(COUNT(I137:U137)&lt;5,DA137,SUMPRODUCT(LARGE(I137:U137,{1,2,3,4,5}))/5)</f>
        <v>65.582474780759526</v>
      </c>
      <c r="DK137" s="62">
        <f>IF(COUNT(I137:AN137)&lt;5,DA137,SUMPRODUCT(LARGE(I137:AN137,{1,2,3,4,5}))/5)</f>
        <v>65.582474780759526</v>
      </c>
      <c r="DL137" s="209">
        <f>IF(COUNT(J137:CZ137)&lt;5,AVERAGE(J137:CZ137),SUMPRODUCT(LARGE(J137:CZ137,{1,2,3,4,5}))/5)</f>
        <v>65.582474780759526</v>
      </c>
      <c r="DM137" s="62">
        <f t="shared" si="53"/>
        <v>64.441853965568967</v>
      </c>
      <c r="DN137" s="13" t="str">
        <f t="shared" si="52"/>
        <v>Viren, Annika</v>
      </c>
      <c r="DO137" s="7"/>
      <c r="DP137" s="16"/>
      <c r="DQ137" s="9"/>
      <c r="DR137" s="9"/>
      <c r="DS137" s="121"/>
      <c r="DT137" s="128"/>
      <c r="DU137" s="128"/>
      <c r="DV137" s="128"/>
      <c r="DW137" s="13"/>
      <c r="DX137" s="13"/>
      <c r="DY137" s="92"/>
      <c r="DZ137" s="83"/>
      <c r="EA137" s="13"/>
      <c r="EB137" s="13"/>
      <c r="EC137" s="13"/>
      <c r="ED137" s="13"/>
      <c r="EE137" s="13"/>
      <c r="EF137" s="13"/>
      <c r="EG137" s="13"/>
      <c r="EI137" s="152"/>
    </row>
    <row r="138" spans="1:139" x14ac:dyDescent="0.2">
      <c r="A138" s="7">
        <v>135</v>
      </c>
      <c r="B138" s="119" t="s">
        <v>370</v>
      </c>
      <c r="C138" s="9" t="s">
        <v>6</v>
      </c>
      <c r="D138" s="9" t="s">
        <v>31</v>
      </c>
      <c r="E138" s="10">
        <v>63.452011434056885</v>
      </c>
      <c r="F138" s="82">
        <v>63.452011434056885</v>
      </c>
      <c r="G138" s="9">
        <f t="shared" si="44"/>
        <v>3</v>
      </c>
      <c r="H138" s="93">
        <v>0</v>
      </c>
      <c r="I138" s="46"/>
      <c r="J138" s="11"/>
      <c r="K138" s="11"/>
      <c r="L138" s="11"/>
      <c r="M138" s="11"/>
      <c r="N138" s="11"/>
      <c r="O138" s="11"/>
      <c r="P138" s="11"/>
      <c r="Q138" s="11"/>
      <c r="R138" s="11"/>
      <c r="S138" s="11">
        <f>(INDEX('Race 11'!$E$8:$E$200,(MATCH($B138,'Race 11'!$B$8:$B$200,0)),1))*100</f>
        <v>67.581263443395557</v>
      </c>
      <c r="T138" s="11">
        <f>(INDEX('Race 12'!$E$8:$E$200,(MATCH($B138,'Race 12'!$B$8:$B$200,0)),1))*100</f>
        <v>63.157758193744549</v>
      </c>
      <c r="U138" s="11">
        <f>(INDEX('Race 13'!$E$8:$E$200,(MATCH($B138,'Race 13'!$B$8:$B$200,0)),1))*100</f>
        <v>59.617012665030565</v>
      </c>
      <c r="V138" s="11"/>
      <c r="W138" s="11"/>
      <c r="X138" s="96"/>
      <c r="Y138" s="96"/>
      <c r="Z138" s="96"/>
      <c r="AA138" s="96"/>
      <c r="AB138" s="96"/>
      <c r="AC138" s="96"/>
      <c r="AD138" s="96"/>
      <c r="AE138" s="96"/>
      <c r="AF138" s="110"/>
      <c r="AG138" s="11"/>
      <c r="AH138" s="11"/>
      <c r="AI138" s="11"/>
      <c r="AJ138" s="11"/>
      <c r="AK138" s="11"/>
      <c r="AL138" s="11"/>
      <c r="AM138" s="11"/>
      <c r="AN138" s="250"/>
      <c r="AO138" s="25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96"/>
      <c r="BA138" s="11"/>
      <c r="BB138" s="11"/>
      <c r="BC138" s="96"/>
      <c r="BD138" s="11"/>
      <c r="BE138" s="96"/>
      <c r="BF138" s="11"/>
      <c r="BG138" s="11"/>
      <c r="BH138" s="11"/>
      <c r="BI138" s="11"/>
      <c r="BJ138" s="11"/>
      <c r="BK138" s="11"/>
      <c r="BL138" s="11"/>
      <c r="BM138" s="11"/>
      <c r="BN138" s="96"/>
      <c r="BO138" s="11"/>
      <c r="BP138" s="11"/>
      <c r="BQ138" s="11"/>
      <c r="BR138" s="11"/>
      <c r="BS138" s="11"/>
      <c r="BT138" s="11"/>
      <c r="BU138" s="11"/>
      <c r="BV138" s="11"/>
      <c r="BW138" s="96"/>
      <c r="BX138" s="11"/>
      <c r="BY138" s="11"/>
      <c r="BZ138" s="11"/>
      <c r="CA138" s="11"/>
      <c r="CB138" s="11"/>
      <c r="CC138" s="11"/>
      <c r="CD138" s="11"/>
      <c r="CE138" s="11"/>
      <c r="CF138" s="11"/>
      <c r="CG138" s="96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20"/>
      <c r="CV138" s="11"/>
      <c r="CW138" s="20"/>
      <c r="CX138" s="96"/>
      <c r="CY138" s="96"/>
      <c r="CZ138" s="11"/>
      <c r="DA138" s="26">
        <f t="shared" si="45"/>
        <v>63.452011434056885</v>
      </c>
      <c r="DB138" s="53" t="str">
        <f t="shared" si="46"/>
        <v>Viren, Elsa</v>
      </c>
      <c r="DC138" s="68">
        <f t="shared" si="47"/>
        <v>1</v>
      </c>
      <c r="DD138" s="62">
        <v>66.367715995604314</v>
      </c>
      <c r="DE138" s="209">
        <f t="shared" si="48"/>
        <v>62.348443975687225</v>
      </c>
      <c r="DF138" s="115">
        <f t="shared" si="43"/>
        <v>3</v>
      </c>
      <c r="DG138" s="4">
        <f t="shared" si="49"/>
        <v>3</v>
      </c>
      <c r="DH138" s="115">
        <f t="shared" si="50"/>
        <v>3</v>
      </c>
      <c r="DI138" s="115" t="str">
        <f t="shared" si="51"/>
        <v>MN</v>
      </c>
      <c r="DJ138" s="62">
        <f>IF(COUNT(I138:U138)&lt;5,DA138,SUMPRODUCT(LARGE(I138:U138,{1,2,3,4,5}))/5)</f>
        <v>63.452011434056885</v>
      </c>
      <c r="DK138" s="62">
        <f>IF(COUNT(I138:AN138)&lt;5,DA138,SUMPRODUCT(LARGE(I138:AN138,{1,2,3,4,5}))/5)</f>
        <v>63.452011434056885</v>
      </c>
      <c r="DL138" s="209">
        <f>IF(COUNT(J138:CZ138)&lt;5,AVERAGE(J138:CZ138),SUMPRODUCT(LARGE(J138:CZ138,{1,2,3,4,5}))/5)</f>
        <v>63.452011434056885</v>
      </c>
      <c r="DM138" s="62">
        <f t="shared" si="53"/>
        <v>62.348443975687225</v>
      </c>
      <c r="DN138" s="13" t="str">
        <f t="shared" si="52"/>
        <v>Viren, Elsa</v>
      </c>
      <c r="DO138" s="7"/>
      <c r="DP138" s="16"/>
      <c r="DQ138" s="9"/>
      <c r="DR138" s="9"/>
      <c r="DS138" s="121"/>
      <c r="DT138" s="128"/>
      <c r="DU138" s="128"/>
      <c r="DV138" s="128"/>
      <c r="DW138" s="13"/>
      <c r="DX138" s="13"/>
      <c r="DY138" s="92"/>
      <c r="DZ138" s="83"/>
      <c r="EA138" s="13"/>
      <c r="EB138" s="13"/>
      <c r="EC138" s="13"/>
      <c r="ED138" s="13"/>
      <c r="EE138" s="13"/>
      <c r="EF138" s="13"/>
      <c r="EG138" s="13"/>
      <c r="EI138" s="152"/>
    </row>
    <row r="139" spans="1:139" x14ac:dyDescent="0.2">
      <c r="A139" s="7">
        <v>136</v>
      </c>
      <c r="B139" s="119" t="s">
        <v>442</v>
      </c>
      <c r="C139" s="9" t="s">
        <v>5</v>
      </c>
      <c r="D139" s="9" t="s">
        <v>37</v>
      </c>
      <c r="E139" s="10">
        <v>0</v>
      </c>
      <c r="F139" s="82">
        <v>0</v>
      </c>
      <c r="G139" s="9">
        <f t="shared" si="44"/>
        <v>1</v>
      </c>
      <c r="H139" s="93">
        <v>0</v>
      </c>
      <c r="I139" s="46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96"/>
      <c r="U139" s="11"/>
      <c r="V139" s="11"/>
      <c r="W139" s="11"/>
      <c r="X139" s="96"/>
      <c r="Y139" s="96"/>
      <c r="Z139" s="96"/>
      <c r="AA139" s="96"/>
      <c r="AB139" s="96"/>
      <c r="AC139" s="96"/>
      <c r="AD139" s="96"/>
      <c r="AE139" s="96"/>
      <c r="AF139" s="110"/>
      <c r="AG139" s="11"/>
      <c r="AH139" s="11"/>
      <c r="AI139" s="11"/>
      <c r="AJ139" s="11"/>
      <c r="AK139" s="11"/>
      <c r="AL139" s="11"/>
      <c r="AM139" s="11"/>
      <c r="AN139" s="250"/>
      <c r="AO139" s="251"/>
      <c r="AP139" s="11"/>
      <c r="AQ139" s="11"/>
      <c r="AR139" s="11"/>
      <c r="AS139" s="11"/>
      <c r="AT139" s="11"/>
      <c r="AU139" s="11"/>
      <c r="AV139" s="11"/>
      <c r="AW139" s="11"/>
      <c r="AX139" s="11">
        <f>(INDEX('Race 42'!$E$8:$E$200,(MATCH($B139,'Race 42'!$B$8:$B$200,0)),1))*100</f>
        <v>53.409774160899204</v>
      </c>
      <c r="AY139" s="11"/>
      <c r="AZ139" s="11"/>
      <c r="BA139" s="11"/>
      <c r="BB139" s="11"/>
      <c r="BC139" s="96"/>
      <c r="BD139" s="11"/>
      <c r="BE139" s="96"/>
      <c r="BF139" s="11"/>
      <c r="BG139" s="11"/>
      <c r="BH139" s="11"/>
      <c r="BI139" s="11"/>
      <c r="BJ139" s="11"/>
      <c r="BK139" s="11"/>
      <c r="BL139" s="11"/>
      <c r="BM139" s="11"/>
      <c r="BN139" s="96"/>
      <c r="BO139" s="11"/>
      <c r="BP139" s="11"/>
      <c r="BQ139" s="11"/>
      <c r="BR139" s="11"/>
      <c r="BS139" s="11"/>
      <c r="BT139" s="11"/>
      <c r="BU139" s="11"/>
      <c r="BV139" s="11"/>
      <c r="BW139" s="96"/>
      <c r="BX139" s="11"/>
      <c r="BY139" s="11"/>
      <c r="BZ139" s="11"/>
      <c r="CA139" s="11"/>
      <c r="CB139" s="11"/>
      <c r="CC139" s="11"/>
      <c r="CD139" s="11"/>
      <c r="CE139" s="11"/>
      <c r="CF139" s="11"/>
      <c r="CG139" s="96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20"/>
      <c r="CV139" s="11"/>
      <c r="CW139" s="20"/>
      <c r="CX139" s="96"/>
      <c r="CY139" s="96"/>
      <c r="CZ139" s="11"/>
      <c r="DA139" s="26">
        <f t="shared" si="45"/>
        <v>53.409774160899204</v>
      </c>
      <c r="DB139" s="53" t="str">
        <f t="shared" si="46"/>
        <v>Vu, Stephanie</v>
      </c>
      <c r="DC139" s="68">
        <f t="shared" si="47"/>
        <v>1</v>
      </c>
      <c r="DD139" s="62">
        <v>66.367715995604314</v>
      </c>
      <c r="DE139" s="209">
        <f t="shared" si="48"/>
        <v>52.480862887785406</v>
      </c>
      <c r="DF139" s="115">
        <f t="shared" si="43"/>
        <v>0</v>
      </c>
      <c r="DG139" s="4">
        <f t="shared" si="49"/>
        <v>0</v>
      </c>
      <c r="DH139" s="115">
        <f t="shared" si="50"/>
        <v>1</v>
      </c>
      <c r="DI139" s="115" t="str">
        <f t="shared" si="51"/>
        <v>CO</v>
      </c>
      <c r="DJ139" s="62">
        <f>IF(COUNT(I139:U139)&lt;5,DA139,SUMPRODUCT(LARGE(I139:U139,{1,2,3,4,5}))/5)</f>
        <v>53.409774160899204</v>
      </c>
      <c r="DK139" s="62">
        <f>IF(COUNT(I139:AN139)&lt;5,DA139,SUMPRODUCT(LARGE(I139:AN139,{1,2,3,4,5}))/5)</f>
        <v>53.409774160899204</v>
      </c>
      <c r="DL139" s="209">
        <f>IF(COUNT(J139:CZ139)&lt;5,AVERAGE(J139:CZ139),SUMPRODUCT(LARGE(J139:CZ139,{1,2,3,4,5}))/5)</f>
        <v>53.409774160899204</v>
      </c>
      <c r="DM139" s="62">
        <f t="shared" si="53"/>
        <v>52.480862887785406</v>
      </c>
      <c r="DN139" s="13" t="str">
        <f t="shared" si="52"/>
        <v>Vu, Stephanie</v>
      </c>
      <c r="DO139" s="7"/>
      <c r="DP139" s="16"/>
      <c r="DQ139" s="9"/>
      <c r="DR139" s="9"/>
      <c r="DS139" s="121"/>
      <c r="DT139" s="128"/>
      <c r="DU139" s="128"/>
      <c r="DV139" s="128"/>
      <c r="DW139" s="13"/>
      <c r="DX139" s="13"/>
      <c r="DY139" s="92"/>
      <c r="DZ139" s="83"/>
      <c r="EA139" s="13"/>
      <c r="EB139" s="13"/>
      <c r="EC139" s="13"/>
      <c r="ED139" s="13"/>
      <c r="EE139" s="13"/>
      <c r="EF139" s="13"/>
      <c r="EG139" s="13"/>
      <c r="EI139" s="152"/>
    </row>
    <row r="140" spans="1:139" x14ac:dyDescent="0.2">
      <c r="A140" s="7">
        <v>137</v>
      </c>
      <c r="B140" s="119" t="s">
        <v>263</v>
      </c>
      <c r="C140" s="9" t="s">
        <v>5</v>
      </c>
      <c r="D140" s="9" t="s">
        <v>60</v>
      </c>
      <c r="E140" s="10">
        <v>40.612356461444939</v>
      </c>
      <c r="F140" s="82">
        <v>48.274796462559067</v>
      </c>
      <c r="G140" s="9">
        <f t="shared" si="44"/>
        <v>2</v>
      </c>
      <c r="H140" s="93">
        <v>40.612356461444939</v>
      </c>
      <c r="I140" s="46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96"/>
      <c r="U140" s="11"/>
      <c r="V140" s="11"/>
      <c r="W140" s="11"/>
      <c r="X140" s="96"/>
      <c r="Y140" s="96"/>
      <c r="Z140" s="96"/>
      <c r="AA140" s="96"/>
      <c r="AB140" s="96"/>
      <c r="AC140" s="96"/>
      <c r="AD140" s="96"/>
      <c r="AE140" s="96"/>
      <c r="AF140" s="110"/>
      <c r="AG140" s="11"/>
      <c r="AH140" s="11"/>
      <c r="AI140" s="11"/>
      <c r="AJ140" s="11"/>
      <c r="AK140" s="11"/>
      <c r="AL140" s="11"/>
      <c r="AM140" s="11">
        <f>(INDEX('Race 31'!$E$8:$E$200,(MATCH($B140,'Race 31'!$B$8:$B$200,0)),1))*100</f>
        <v>46.787570354600987</v>
      </c>
      <c r="AN140" s="250">
        <f>(INDEX('Race 32'!$E$8:$E$200,(MATCH($B140,'Race 32'!$B$8:$B$200,0)),1))*100</f>
        <v>49.762022570517153</v>
      </c>
      <c r="AO140" s="25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96"/>
      <c r="BA140" s="11"/>
      <c r="BB140" s="11"/>
      <c r="BC140" s="96"/>
      <c r="BD140" s="11"/>
      <c r="BE140" s="96"/>
      <c r="BF140" s="11"/>
      <c r="BG140" s="11"/>
      <c r="BH140" s="11"/>
      <c r="BI140" s="11"/>
      <c r="BJ140" s="11"/>
      <c r="BK140" s="11"/>
      <c r="BL140" s="11"/>
      <c r="BM140" s="11"/>
      <c r="BN140" s="96"/>
      <c r="BO140" s="11"/>
      <c r="BP140" s="11"/>
      <c r="BQ140" s="11"/>
      <c r="BR140" s="11"/>
      <c r="BS140" s="11"/>
      <c r="BT140" s="11"/>
      <c r="BU140" s="11"/>
      <c r="BV140" s="11"/>
      <c r="BW140" s="96"/>
      <c r="BX140" s="11"/>
      <c r="BY140" s="11"/>
      <c r="BZ140" s="11"/>
      <c r="CA140" s="11"/>
      <c r="CB140" s="11"/>
      <c r="CC140" s="11"/>
      <c r="CD140" s="11"/>
      <c r="CE140" s="11"/>
      <c r="CF140" s="11"/>
      <c r="CG140" s="96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20"/>
      <c r="CV140" s="11"/>
      <c r="CW140" s="20"/>
      <c r="CX140" s="96"/>
      <c r="CY140" s="96"/>
      <c r="CZ140" s="11"/>
      <c r="DA140" s="26">
        <f t="shared" si="45"/>
        <v>48.274796462559067</v>
      </c>
      <c r="DB140" s="53" t="str">
        <f t="shared" si="46"/>
        <v>WANGEMAN, LESLIE</v>
      </c>
      <c r="DC140" s="68">
        <f t="shared" si="47"/>
        <v>1</v>
      </c>
      <c r="DD140" s="209">
        <v>40.612356461444939</v>
      </c>
      <c r="DE140" s="209">
        <f t="shared" si="48"/>
        <v>47.435193536954969</v>
      </c>
      <c r="DF140" s="115">
        <f>COUNT(I140:AC140)</f>
        <v>0</v>
      </c>
      <c r="DG140" s="4">
        <f t="shared" si="49"/>
        <v>2</v>
      </c>
      <c r="DH140" s="115">
        <f t="shared" si="50"/>
        <v>2</v>
      </c>
      <c r="DI140" s="115" t="str">
        <f t="shared" si="51"/>
        <v>SD</v>
      </c>
      <c r="DJ140" s="62">
        <f>IF(COUNT(I140:U140)&lt;5,DA140,SUMPRODUCT(LARGE(I140:U140,{1,2,3,4,5}))/5)</f>
        <v>48.274796462559067</v>
      </c>
      <c r="DK140" s="62">
        <f>IF(COUNT(I140:AN140)&lt;5,DA140,SUMPRODUCT(LARGE(I140:AN140,{1,2,3,4,5}))/5)</f>
        <v>48.274796462559067</v>
      </c>
      <c r="DL140" s="62">
        <f>IF(COUNT(I140:CZ140)&lt;5,AVERAGE(I140:CZ140),SUMPRODUCT(LARGE(I140:CZ140,{1,2,3,4,5}))/5)</f>
        <v>48.274796462559067</v>
      </c>
      <c r="DM140" s="62">
        <f t="shared" si="53"/>
        <v>47.435193536954969</v>
      </c>
      <c r="DN140" s="13" t="str">
        <f t="shared" si="52"/>
        <v>WANGEMAN, LESLIE</v>
      </c>
      <c r="DO140" s="7"/>
      <c r="DP140" s="16"/>
      <c r="DQ140" s="9"/>
      <c r="DR140" s="9"/>
      <c r="DS140" s="121"/>
      <c r="DT140" s="128"/>
      <c r="DU140" s="128"/>
      <c r="DV140" s="128"/>
      <c r="DW140" s="13"/>
      <c r="DX140" s="13"/>
      <c r="DY140" s="92"/>
      <c r="DZ140" s="83"/>
      <c r="EA140" s="13"/>
      <c r="EB140" s="13"/>
      <c r="EC140" s="13"/>
      <c r="ED140" s="13"/>
      <c r="EE140" s="13"/>
      <c r="EF140" s="13"/>
      <c r="EG140" s="13"/>
      <c r="EI140" s="152"/>
    </row>
    <row r="141" spans="1:139" x14ac:dyDescent="0.2">
      <c r="A141" s="7">
        <v>138</v>
      </c>
      <c r="B141" s="119" t="s">
        <v>356</v>
      </c>
      <c r="C141" s="9" t="s">
        <v>6</v>
      </c>
      <c r="D141" s="9" t="s">
        <v>31</v>
      </c>
      <c r="E141" s="10">
        <v>55.791968673404469</v>
      </c>
      <c r="F141" s="82">
        <v>57.729254109408629</v>
      </c>
      <c r="G141" s="9">
        <f t="shared" si="44"/>
        <v>2</v>
      </c>
      <c r="H141" s="93">
        <v>0</v>
      </c>
      <c r="I141" s="46"/>
      <c r="J141" s="11"/>
      <c r="K141" s="11"/>
      <c r="L141" s="11"/>
      <c r="M141" s="11"/>
      <c r="N141" s="11"/>
      <c r="O141" s="11"/>
      <c r="P141" s="11"/>
      <c r="Q141" s="11"/>
      <c r="R141" s="11"/>
      <c r="S141" s="11">
        <f>(INDEX('Race 11'!$E$8:$E$200,(MATCH($B141,'Race 11'!$B$8:$B$200,0)),1))*100</f>
        <v>55.791968673404469</v>
      </c>
      <c r="T141" s="96"/>
      <c r="U141" s="11"/>
      <c r="V141" s="11"/>
      <c r="W141" s="11"/>
      <c r="X141" s="96"/>
      <c r="Y141" s="96"/>
      <c r="Z141" s="96"/>
      <c r="AA141" s="96"/>
      <c r="AB141" s="96"/>
      <c r="AC141" s="96"/>
      <c r="AD141" s="11">
        <f>(INDEX('Race 22'!$E$8:$E$200,(MATCH($B141,'Race 22'!$B$8:$B$200,0)),1))*100</f>
        <v>59.666539545412789</v>
      </c>
      <c r="AE141" s="96"/>
      <c r="AF141" s="110"/>
      <c r="AG141" s="11"/>
      <c r="AH141" s="11"/>
      <c r="AI141" s="11"/>
      <c r="AJ141" s="11"/>
      <c r="AK141" s="11"/>
      <c r="AL141" s="11"/>
      <c r="AM141" s="11"/>
      <c r="AN141" s="250"/>
      <c r="AO141" s="25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96"/>
      <c r="BA141" s="11"/>
      <c r="BB141" s="11"/>
      <c r="BC141" s="96"/>
      <c r="BD141" s="11"/>
      <c r="BE141" s="96"/>
      <c r="BF141" s="11"/>
      <c r="BG141" s="11"/>
      <c r="BH141" s="11"/>
      <c r="BI141" s="11"/>
      <c r="BJ141" s="11"/>
      <c r="BK141" s="11"/>
      <c r="BL141" s="11"/>
      <c r="BM141" s="11"/>
      <c r="BN141" s="96"/>
      <c r="BO141" s="11"/>
      <c r="BP141" s="11"/>
      <c r="BQ141" s="11"/>
      <c r="BR141" s="11"/>
      <c r="BS141" s="11"/>
      <c r="BT141" s="11"/>
      <c r="BU141" s="11"/>
      <c r="BV141" s="11"/>
      <c r="BW141" s="96"/>
      <c r="BX141" s="11"/>
      <c r="BY141" s="11"/>
      <c r="BZ141" s="11"/>
      <c r="CA141" s="11"/>
      <c r="CB141" s="11"/>
      <c r="CC141" s="11"/>
      <c r="CD141" s="11"/>
      <c r="CE141" s="11"/>
      <c r="CF141" s="11"/>
      <c r="CG141" s="96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20"/>
      <c r="CV141" s="11"/>
      <c r="CW141" s="20"/>
      <c r="CX141" s="96"/>
      <c r="CY141" s="96"/>
      <c r="CZ141" s="11"/>
      <c r="DA141" s="26">
        <f t="shared" si="45"/>
        <v>57.729254109408629</v>
      </c>
      <c r="DB141" s="53" t="str">
        <f t="shared" si="46"/>
        <v>Watson, Emma</v>
      </c>
      <c r="DC141" s="68">
        <f t="shared" si="47"/>
        <v>1</v>
      </c>
      <c r="DD141" s="62">
        <v>66.367715995604314</v>
      </c>
      <c r="DE141" s="209">
        <f t="shared" si="48"/>
        <v>56.725217755142609</v>
      </c>
      <c r="DF141" s="115">
        <f t="shared" ref="DF141:DF153" si="54">COUNT(I141:X141)</f>
        <v>1</v>
      </c>
      <c r="DG141" s="4">
        <f t="shared" si="49"/>
        <v>2</v>
      </c>
      <c r="DH141" s="115">
        <f t="shared" si="50"/>
        <v>2</v>
      </c>
      <c r="DI141" s="115" t="str">
        <f t="shared" si="51"/>
        <v>MN</v>
      </c>
      <c r="DJ141" s="62">
        <f>IF(COUNT(I141:U141)&lt;5,DA141,SUMPRODUCT(LARGE(I141:U141,{1,2,3,4,5}))/5)</f>
        <v>57.729254109408629</v>
      </c>
      <c r="DK141" s="62">
        <f>IF(COUNT(I141:AN141)&lt;5,DA141,SUMPRODUCT(LARGE(I141:AN141,{1,2,3,4,5}))/5)</f>
        <v>57.729254109408629</v>
      </c>
      <c r="DL141" s="209">
        <f>IF(COUNT(J141:CZ141)&lt;5,AVERAGE(J141:CZ141),SUMPRODUCT(LARGE(J141:CZ141,{1,2,3,4,5}))/5)</f>
        <v>57.729254109408629</v>
      </c>
      <c r="DM141" s="62">
        <f t="shared" si="53"/>
        <v>56.725217755142609</v>
      </c>
      <c r="DN141" s="13" t="str">
        <f t="shared" si="52"/>
        <v>Watson, Emma</v>
      </c>
      <c r="DO141" s="7"/>
      <c r="DP141" s="16"/>
      <c r="DQ141" s="9"/>
      <c r="DR141" s="9"/>
      <c r="DS141" s="121"/>
      <c r="DT141" s="128"/>
      <c r="DU141" s="128"/>
      <c r="DV141" s="128"/>
      <c r="DW141" s="13"/>
      <c r="DX141" s="13"/>
      <c r="DY141" s="92"/>
      <c r="DZ141" s="83"/>
      <c r="EA141" s="13"/>
      <c r="EB141" s="13"/>
      <c r="EC141" s="13"/>
      <c r="ED141" s="13"/>
      <c r="EE141" s="13"/>
      <c r="EF141" s="13"/>
      <c r="EG141" s="13"/>
      <c r="EI141" s="152"/>
    </row>
    <row r="142" spans="1:139" x14ac:dyDescent="0.2">
      <c r="A142" s="7">
        <v>139</v>
      </c>
      <c r="B142" s="119" t="s">
        <v>357</v>
      </c>
      <c r="C142" s="9" t="s">
        <v>6</v>
      </c>
      <c r="D142" s="9" t="s">
        <v>31</v>
      </c>
      <c r="E142" s="10">
        <v>55.094569064986921</v>
      </c>
      <c r="F142" s="82">
        <v>55.094569064986921</v>
      </c>
      <c r="G142" s="9">
        <f t="shared" si="44"/>
        <v>1</v>
      </c>
      <c r="H142" s="93">
        <v>0</v>
      </c>
      <c r="I142" s="46"/>
      <c r="J142" s="11"/>
      <c r="K142" s="11"/>
      <c r="L142" s="11"/>
      <c r="M142" s="11"/>
      <c r="N142" s="11"/>
      <c r="O142" s="11"/>
      <c r="P142" s="11"/>
      <c r="Q142" s="11"/>
      <c r="R142" s="11"/>
      <c r="S142" s="11">
        <f>(INDEX('Race 11'!$E$8:$E$200,(MATCH($B142,'Race 11'!$B$8:$B$200,0)),1))*100</f>
        <v>55.094569064986921</v>
      </c>
      <c r="T142" s="96"/>
      <c r="U142" s="11"/>
      <c r="V142" s="11"/>
      <c r="W142" s="11"/>
      <c r="X142" s="96"/>
      <c r="Y142" s="96"/>
      <c r="Z142" s="96"/>
      <c r="AA142" s="96"/>
      <c r="AB142" s="96"/>
      <c r="AC142" s="96"/>
      <c r="AD142" s="96"/>
      <c r="AE142" s="96"/>
      <c r="AF142" s="110"/>
      <c r="AG142" s="11"/>
      <c r="AH142" s="11"/>
      <c r="AI142" s="11"/>
      <c r="AJ142" s="11"/>
      <c r="AK142" s="11"/>
      <c r="AL142" s="11"/>
      <c r="AM142" s="11"/>
      <c r="AN142" s="250"/>
      <c r="AO142" s="25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96"/>
      <c r="BA142" s="11"/>
      <c r="BB142" s="11"/>
      <c r="BC142" s="96"/>
      <c r="BD142" s="11"/>
      <c r="BE142" s="96"/>
      <c r="BF142" s="11"/>
      <c r="BG142" s="11"/>
      <c r="BH142" s="11"/>
      <c r="BI142" s="11"/>
      <c r="BJ142" s="11"/>
      <c r="BK142" s="11"/>
      <c r="BL142" s="11"/>
      <c r="BM142" s="11"/>
      <c r="BN142" s="96"/>
      <c r="BO142" s="11"/>
      <c r="BP142" s="11"/>
      <c r="BQ142" s="11"/>
      <c r="BR142" s="11"/>
      <c r="BS142" s="11"/>
      <c r="BT142" s="11"/>
      <c r="BU142" s="11"/>
      <c r="BV142" s="11"/>
      <c r="BW142" s="96"/>
      <c r="BX142" s="11"/>
      <c r="BY142" s="11"/>
      <c r="BZ142" s="11"/>
      <c r="CA142" s="11"/>
      <c r="CB142" s="11"/>
      <c r="CC142" s="11"/>
      <c r="CD142" s="11"/>
      <c r="CE142" s="11"/>
      <c r="CF142" s="11"/>
      <c r="CG142" s="96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20"/>
      <c r="CV142" s="11"/>
      <c r="CW142" s="20"/>
      <c r="CX142" s="96"/>
      <c r="CY142" s="96"/>
      <c r="CZ142" s="11"/>
      <c r="DA142" s="26">
        <f t="shared" si="45"/>
        <v>55.094569064986921</v>
      </c>
      <c r="DB142" s="53" t="str">
        <f t="shared" si="46"/>
        <v>Watson, Lucy</v>
      </c>
      <c r="DC142" s="68">
        <f t="shared" si="47"/>
        <v>1</v>
      </c>
      <c r="DD142" s="62">
        <v>66.367715995604314</v>
      </c>
      <c r="DE142" s="209">
        <f t="shared" si="48"/>
        <v>54.136355571373606</v>
      </c>
      <c r="DF142" s="115">
        <f t="shared" si="54"/>
        <v>1</v>
      </c>
      <c r="DG142" s="4">
        <f t="shared" si="49"/>
        <v>1</v>
      </c>
      <c r="DH142" s="115">
        <f t="shared" si="50"/>
        <v>1</v>
      </c>
      <c r="DI142" s="115" t="str">
        <f t="shared" si="51"/>
        <v>MN</v>
      </c>
      <c r="DJ142" s="62">
        <f>IF(COUNT(I142:U142)&lt;5,DA142,SUMPRODUCT(LARGE(I142:U142,{1,2,3,4,5}))/5)</f>
        <v>55.094569064986921</v>
      </c>
      <c r="DK142" s="62">
        <f>IF(COUNT(I142:AN142)&lt;5,DA142,SUMPRODUCT(LARGE(I142:AN142,{1,2,3,4,5}))/5)</f>
        <v>55.094569064986921</v>
      </c>
      <c r="DL142" s="209">
        <f>IF(COUNT(J142:CZ142)&lt;5,AVERAGE(J142:CZ142),SUMPRODUCT(LARGE(J142:CZ142,{1,2,3,4,5}))/5)</f>
        <v>55.094569064986921</v>
      </c>
      <c r="DM142" s="62">
        <f t="shared" si="53"/>
        <v>54.136355571373606</v>
      </c>
      <c r="DN142" s="13" t="str">
        <f t="shared" si="52"/>
        <v>Watson, Lucy</v>
      </c>
      <c r="DO142" s="7"/>
      <c r="DP142" s="16"/>
      <c r="DQ142" s="9"/>
      <c r="DR142" s="9"/>
      <c r="DS142" s="121"/>
      <c r="DT142" s="128"/>
      <c r="DU142" s="128"/>
      <c r="DV142" s="128"/>
      <c r="DW142" s="13"/>
      <c r="DX142" s="13"/>
      <c r="DY142" s="92"/>
      <c r="DZ142" s="83"/>
      <c r="EA142" s="13"/>
      <c r="EB142" s="13"/>
      <c r="EC142" s="13"/>
      <c r="ED142" s="13"/>
      <c r="EE142" s="13"/>
      <c r="EF142" s="13"/>
      <c r="EG142" s="13"/>
      <c r="EI142" s="152"/>
    </row>
    <row r="143" spans="1:139" x14ac:dyDescent="0.2">
      <c r="A143" s="7">
        <v>140</v>
      </c>
      <c r="B143" s="119" t="s">
        <v>229</v>
      </c>
      <c r="C143" s="9" t="s">
        <v>5</v>
      </c>
      <c r="D143" s="9" t="s">
        <v>42</v>
      </c>
      <c r="E143" s="10">
        <v>48.407706236395555</v>
      </c>
      <c r="F143" s="82">
        <v>52.830770358721466</v>
      </c>
      <c r="G143" s="9">
        <f t="shared" si="44"/>
        <v>2</v>
      </c>
      <c r="H143" s="93">
        <v>48.407706236395555</v>
      </c>
      <c r="I143" s="46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96"/>
      <c r="U143" s="11"/>
      <c r="V143" s="11"/>
      <c r="W143" s="11"/>
      <c r="X143" s="96"/>
      <c r="Y143" s="96"/>
      <c r="Z143" s="96"/>
      <c r="AA143" s="96"/>
      <c r="AB143" s="96"/>
      <c r="AC143" s="96"/>
      <c r="AD143" s="96"/>
      <c r="AE143" s="96"/>
      <c r="AF143" s="110"/>
      <c r="AG143" s="11"/>
      <c r="AH143" s="11"/>
      <c r="AI143" s="11"/>
      <c r="AJ143" s="11"/>
      <c r="AK143" s="11"/>
      <c r="AL143" s="11"/>
      <c r="AM143" s="11">
        <f>(INDEX('Race 31'!$E$8:$E$200,(MATCH($B143,'Race 31'!$B$8:$B$200,0)),1))*100</f>
        <v>50.426382668622225</v>
      </c>
      <c r="AN143" s="250">
        <f>(INDEX('Race 32'!$E$8:$E$200,(MATCH($B143,'Race 32'!$B$8:$B$200,0)),1))*100</f>
        <v>55.235158048820708</v>
      </c>
      <c r="AO143" s="251"/>
      <c r="AP143" s="11"/>
      <c r="AQ143" s="11"/>
      <c r="AR143" s="11"/>
      <c r="AS143" s="11"/>
      <c r="AT143" s="11"/>
      <c r="AU143" s="11"/>
      <c r="AV143" s="11"/>
      <c r="AW143" s="11"/>
      <c r="AX143" s="11"/>
      <c r="AY143" s="96"/>
      <c r="AZ143" s="96"/>
      <c r="BA143" s="11"/>
      <c r="BB143" s="11"/>
      <c r="BC143" s="96"/>
      <c r="BD143" s="11"/>
      <c r="BE143" s="96"/>
      <c r="BF143" s="11"/>
      <c r="BG143" s="11"/>
      <c r="BH143" s="11"/>
      <c r="BI143" s="11"/>
      <c r="BJ143" s="11"/>
      <c r="BK143" s="11"/>
      <c r="BL143" s="11"/>
      <c r="BM143" s="11"/>
      <c r="BN143" s="96"/>
      <c r="BO143" s="11"/>
      <c r="BP143" s="11"/>
      <c r="BQ143" s="11"/>
      <c r="BR143" s="11"/>
      <c r="BS143" s="11"/>
      <c r="BT143" s="11"/>
      <c r="BU143" s="11"/>
      <c r="BV143" s="11"/>
      <c r="BW143" s="96"/>
      <c r="BX143" s="11"/>
      <c r="BY143" s="11"/>
      <c r="BZ143" s="11"/>
      <c r="CA143" s="11"/>
      <c r="CB143" s="11"/>
      <c r="CC143" s="11"/>
      <c r="CD143" s="11"/>
      <c r="CE143" s="11"/>
      <c r="CF143" s="11"/>
      <c r="CG143" s="96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20"/>
      <c r="CV143" s="11"/>
      <c r="CW143" s="20"/>
      <c r="CX143" s="96"/>
      <c r="CY143" s="96"/>
      <c r="CZ143" s="11"/>
      <c r="DA143" s="26">
        <f t="shared" si="45"/>
        <v>52.830770358721466</v>
      </c>
      <c r="DB143" s="53" t="str">
        <f t="shared" si="46"/>
        <v>Weber, Lauren</v>
      </c>
      <c r="DC143" s="68">
        <f t="shared" si="47"/>
        <v>1</v>
      </c>
      <c r="DD143" s="62">
        <v>48.407706236395555</v>
      </c>
      <c r="DE143" s="209">
        <f t="shared" si="48"/>
        <v>51.911929211674824</v>
      </c>
      <c r="DF143" s="115">
        <f t="shared" si="54"/>
        <v>0</v>
      </c>
      <c r="DG143" s="4">
        <f t="shared" si="49"/>
        <v>2</v>
      </c>
      <c r="DH143" s="115">
        <f t="shared" si="50"/>
        <v>2</v>
      </c>
      <c r="DI143" s="115" t="str">
        <f t="shared" si="51"/>
        <v>OH</v>
      </c>
      <c r="DJ143" s="62">
        <f>IF(COUNT(I143:U143)&lt;5,DA143,SUMPRODUCT(LARGE(I143:U143,{1,2,3,4,5}))/5)</f>
        <v>52.830770358721466</v>
      </c>
      <c r="DK143" s="62">
        <f>IF(COUNT(I143:AN143)&lt;5,DA143,SUMPRODUCT(LARGE(I143:AN143,{1,2,3,4,5}))/5)</f>
        <v>52.830770358721466</v>
      </c>
      <c r="DL143" s="209">
        <f>IF(COUNT(J143:CZ143)&lt;5,AVERAGE(J143:CZ143),SUMPRODUCT(LARGE(J143:CZ143,{1,2,3,4,5}))/5)</f>
        <v>52.830770358721466</v>
      </c>
      <c r="DM143" s="62">
        <f t="shared" si="53"/>
        <v>51.911929211674824</v>
      </c>
      <c r="DN143" s="13" t="str">
        <f t="shared" si="52"/>
        <v>Weber, Lauren</v>
      </c>
      <c r="DO143" s="7"/>
      <c r="DP143" s="16"/>
      <c r="DQ143" s="9"/>
      <c r="DR143" s="9"/>
      <c r="DS143" s="121"/>
      <c r="DT143" s="128"/>
      <c r="DU143" s="128"/>
      <c r="DV143" s="128"/>
      <c r="DW143" s="13"/>
      <c r="DX143" s="13"/>
      <c r="DY143" s="92"/>
      <c r="DZ143" s="83"/>
      <c r="EA143" s="13"/>
      <c r="EB143" s="13"/>
      <c r="EC143" s="13"/>
      <c r="ED143" s="13"/>
      <c r="EE143" s="13"/>
      <c r="EF143" s="13"/>
      <c r="EG143" s="13"/>
      <c r="EI143" s="152"/>
    </row>
    <row r="144" spans="1:139" x14ac:dyDescent="0.2">
      <c r="A144" s="7">
        <v>141</v>
      </c>
      <c r="B144" s="119" t="s">
        <v>65</v>
      </c>
      <c r="C144" s="9" t="s">
        <v>5</v>
      </c>
      <c r="D144" s="9" t="s">
        <v>36</v>
      </c>
      <c r="E144" s="10">
        <v>50.514713516710543</v>
      </c>
      <c r="F144" s="82">
        <v>51.598687384929619</v>
      </c>
      <c r="G144" s="9">
        <f t="shared" si="44"/>
        <v>5</v>
      </c>
      <c r="H144" s="93">
        <v>50.514713516710543</v>
      </c>
      <c r="I144" s="46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96"/>
      <c r="U144" s="11"/>
      <c r="V144" s="11"/>
      <c r="W144" s="11"/>
      <c r="X144" s="96"/>
      <c r="Y144" s="96"/>
      <c r="Z144" s="96"/>
      <c r="AA144" s="96"/>
      <c r="AB144" s="96"/>
      <c r="AC144" s="96"/>
      <c r="AD144" s="96"/>
      <c r="AE144" s="96"/>
      <c r="AF144" s="110"/>
      <c r="AG144" s="11">
        <f>(INDEX('Race 25'!$E$8:$E$200,(MATCH($B144,'Race 25'!$B$8:$B$200,0)),1))*100</f>
        <v>54.427839077715646</v>
      </c>
      <c r="AH144" s="11">
        <f>(INDEX('Race 26'!$E$8:$E$200,(MATCH($B144,'Race 26'!$B$8:$B$200,0)),1))*100</f>
        <v>48.769535692143592</v>
      </c>
      <c r="AI144" s="11"/>
      <c r="AJ144" s="11"/>
      <c r="AK144" s="11"/>
      <c r="AL144" s="11"/>
      <c r="AM144" s="11"/>
      <c r="AN144" s="250"/>
      <c r="AO144" s="25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96"/>
      <c r="BA144" s="11"/>
      <c r="BB144" s="11"/>
      <c r="BC144" s="11"/>
      <c r="BD144" s="11"/>
      <c r="BE144" s="11">
        <f>(INDEX('Race 49'!$E$8:$E$200,(MATCH($B144,'Race 49'!$B$8:$B$200,0)),1))*100</f>
        <v>50.316622176924866</v>
      </c>
      <c r="BF144" s="11"/>
      <c r="BG144" s="11"/>
      <c r="BH144" s="11"/>
      <c r="BI144" s="11"/>
      <c r="BJ144" s="11"/>
      <c r="BK144" s="11"/>
      <c r="BL144" s="11">
        <f>(INDEX('Race 56'!$E$8:$E$200,(MATCH($B144,'Race 56'!$B$8:$B$200,0)),1))*100</f>
        <v>46.407540691913447</v>
      </c>
      <c r="BM144" s="11">
        <f>(INDEX('Race 57'!$E$8:$E$200,(MATCH($B144,'Race 57'!$B$8:$B$200,0)),1))*100</f>
        <v>50.812606585908803</v>
      </c>
      <c r="BN144" s="96"/>
      <c r="BO144" s="11"/>
      <c r="BP144" s="11"/>
      <c r="BQ144" s="11"/>
      <c r="BR144" s="11"/>
      <c r="BS144" s="11"/>
      <c r="BT144" s="11"/>
      <c r="BU144" s="11"/>
      <c r="BV144" s="11"/>
      <c r="BW144" s="96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20"/>
      <c r="CV144" s="11"/>
      <c r="CW144" s="20"/>
      <c r="CX144" s="96"/>
      <c r="CY144" s="96"/>
      <c r="CZ144" s="11"/>
      <c r="DA144" s="26">
        <f t="shared" si="45"/>
        <v>50.146828844921274</v>
      </c>
      <c r="DB144" s="42" t="str">
        <f t="shared" si="46"/>
        <v>Wilbert, Sibylle</v>
      </c>
      <c r="DC144" s="43">
        <f t="shared" si="47"/>
        <v>1</v>
      </c>
      <c r="DD144" s="62">
        <v>50.514713516710543</v>
      </c>
      <c r="DE144" s="62">
        <f t="shared" si="48"/>
        <v>49.274667234864182</v>
      </c>
      <c r="DF144" s="4">
        <f t="shared" si="54"/>
        <v>0</v>
      </c>
      <c r="DG144" s="4">
        <f t="shared" si="49"/>
        <v>2</v>
      </c>
      <c r="DH144" s="4">
        <f t="shared" si="50"/>
        <v>5</v>
      </c>
      <c r="DI144" s="4" t="str">
        <f t="shared" si="51"/>
        <v>WA</v>
      </c>
      <c r="DJ144" s="62">
        <f>IF(COUNT(I144:U144)&lt;5,DA144,SUMPRODUCT(LARGE(I144:U144,{1,2,3,4,5}))/5)</f>
        <v>50.146828844921274</v>
      </c>
      <c r="DK144" s="62">
        <f>IF(COUNT(I144:AN144)&lt;5,DA144,SUMPRODUCT(LARGE(I144:AN144,{1,2,3,4,5}))/5)</f>
        <v>50.146828844921274</v>
      </c>
      <c r="DL144" s="62">
        <f>IF(COUNT(J144:CZ144)&lt;5,AVERAGE(J144:CZ144),SUMPRODUCT(LARGE(J144:CZ144,{1,2,3,4,5}))/5)</f>
        <v>50.146828844921274</v>
      </c>
      <c r="DM144" s="62">
        <f t="shared" si="53"/>
        <v>49.274667234864182</v>
      </c>
      <c r="DN144" s="13" t="str">
        <f t="shared" si="52"/>
        <v>Wilbert, Sibylle</v>
      </c>
      <c r="DO144" s="7"/>
      <c r="DP144" s="16"/>
      <c r="DQ144" s="9"/>
      <c r="DR144" s="9"/>
      <c r="DS144" s="121"/>
      <c r="DT144" s="128"/>
      <c r="DU144" s="128"/>
      <c r="DV144" s="128"/>
      <c r="DW144" s="13"/>
      <c r="DX144" s="13"/>
      <c r="DY144" s="92"/>
      <c r="DZ144" s="83"/>
      <c r="EA144" s="13"/>
      <c r="EB144" s="13"/>
      <c r="EC144" s="13"/>
      <c r="ED144" s="13"/>
      <c r="EE144" s="13"/>
      <c r="EF144" s="13"/>
      <c r="EG144" s="13"/>
      <c r="EI144" s="152"/>
    </row>
    <row r="145" spans="1:139" x14ac:dyDescent="0.2">
      <c r="A145" s="7">
        <v>142</v>
      </c>
      <c r="B145" s="119" t="s">
        <v>245</v>
      </c>
      <c r="C145" s="9" t="s">
        <v>6</v>
      </c>
      <c r="D145" s="9" t="s">
        <v>32</v>
      </c>
      <c r="E145" s="10">
        <v>74.046015962152183</v>
      </c>
      <c r="F145" s="82">
        <v>74.046015962152183</v>
      </c>
      <c r="G145" s="9">
        <f t="shared" si="44"/>
        <v>10</v>
      </c>
      <c r="H145" s="93">
        <v>69.141344102881888</v>
      </c>
      <c r="I145" s="46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>
        <f>(INDEX('Race 12'!$E$8:$E$200,(MATCH($B145,'Race 12'!$B$8:$B$200,0)),1))*100</f>
        <v>75.772656501394238</v>
      </c>
      <c r="U145" s="11">
        <f>(INDEX('Race 13'!$E$8:$E$200,(MATCH($B145,'Race 13'!$B$8:$B$200,0)),1))*100</f>
        <v>72.319375422910127</v>
      </c>
      <c r="V145" s="11"/>
      <c r="W145" s="11"/>
      <c r="X145" s="96"/>
      <c r="Y145" s="96"/>
      <c r="Z145" s="96"/>
      <c r="AA145" s="96"/>
      <c r="AB145" s="96"/>
      <c r="AC145" s="96"/>
      <c r="AD145" s="96"/>
      <c r="AE145" s="96"/>
      <c r="AF145" s="110"/>
      <c r="AG145" s="11"/>
      <c r="AH145" s="11"/>
      <c r="AI145" s="11"/>
      <c r="AJ145" s="11"/>
      <c r="AK145" s="11"/>
      <c r="AL145" s="11"/>
      <c r="AM145" s="11"/>
      <c r="AN145" s="250"/>
      <c r="AO145" s="25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>
        <f>(INDEX('Race 43'!$E$8:$E$200,(MATCH($B145,'Race 43'!$B$8:$B$200,0)),1))*100</f>
        <v>72.730447521041413</v>
      </c>
      <c r="AZ145" s="11">
        <f>(INDEX('Race 44'!$E$8:$E$200,(MATCH($B145,'Race 44'!$B$8:$B$200,0)),1))*100</f>
        <v>70.225268629293538</v>
      </c>
      <c r="BA145" s="11">
        <f>(INDEX('Race 45'!$E$8:$E$200,(MATCH($B145,'Race 45'!$B$8:$B$200,0)),1))*100</f>
        <v>68.528964109941555</v>
      </c>
      <c r="BB145" s="11">
        <f>(INDEX('Race 46'!$E$8:$E$200,(MATCH($B145,'Race 46'!$B$8:$B$200,0)),1))*100</f>
        <v>67.991874455404769</v>
      </c>
      <c r="BC145" s="11">
        <f>(INDEX('Race 47'!$E$8:$E$200,(MATCH($B145,'Race 47'!$B$8:$B$200,0)),1))*100</f>
        <v>68.549669933977313</v>
      </c>
      <c r="BD145" s="11">
        <f>(INDEX('Race 48'!$E$8:$E$200,(MATCH($B145,'Race 48'!$B$8:$B$200,0)),1))*100</f>
        <v>70.50398484940709</v>
      </c>
      <c r="BE145" s="96"/>
      <c r="BF145" s="11"/>
      <c r="BG145" s="11"/>
      <c r="BH145" s="11"/>
      <c r="BI145" s="11"/>
      <c r="BJ145" s="11"/>
      <c r="BK145" s="11"/>
      <c r="BL145" s="11"/>
      <c r="BM145" s="11"/>
      <c r="BN145" s="96"/>
      <c r="BO145" s="11"/>
      <c r="BP145" s="11">
        <f>(INDEX('Race 60'!$E$8:$E$200,(MATCH($B145,'Race 60'!$B$8:$B$200,0)),1))*100</f>
        <v>68.487590414769031</v>
      </c>
      <c r="BQ145" s="11"/>
      <c r="BR145" s="11">
        <f>(INDEX('Race 62'!$E$8:$E$200,(MATCH($B145,'Race 62'!$B$8:$B$200,0)),1))*100</f>
        <v>69.188081556472568</v>
      </c>
      <c r="BS145" s="11"/>
      <c r="BT145" s="11"/>
      <c r="BU145" s="11"/>
      <c r="BV145" s="11"/>
      <c r="BW145" s="96"/>
      <c r="BX145" s="11"/>
      <c r="BY145" s="11"/>
      <c r="BZ145" s="11"/>
      <c r="CA145" s="11"/>
      <c r="CB145" s="11"/>
      <c r="CC145" s="11"/>
      <c r="CD145" s="11"/>
      <c r="CE145" s="11"/>
      <c r="CF145" s="11"/>
      <c r="CG145" s="96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20"/>
      <c r="CV145" s="11"/>
      <c r="CW145" s="20"/>
      <c r="CX145" s="96"/>
      <c r="CY145" s="96"/>
      <c r="CZ145" s="11"/>
      <c r="DA145" s="26">
        <f t="shared" si="45"/>
        <v>70.429791339461161</v>
      </c>
      <c r="DB145" s="53" t="str">
        <f t="shared" si="46"/>
        <v>Wilson, Helen</v>
      </c>
      <c r="DC145" s="68">
        <f t="shared" si="47"/>
        <v>1</v>
      </c>
      <c r="DD145" s="62">
        <v>69.141344102881888</v>
      </c>
      <c r="DE145" s="209">
        <f t="shared" si="48"/>
        <v>71.052713554887774</v>
      </c>
      <c r="DF145" s="115">
        <f t="shared" si="54"/>
        <v>2</v>
      </c>
      <c r="DG145" s="4">
        <f t="shared" si="49"/>
        <v>2</v>
      </c>
      <c r="DH145" s="115">
        <f t="shared" si="50"/>
        <v>10</v>
      </c>
      <c r="DI145" s="115" t="str">
        <f t="shared" si="51"/>
        <v>VT</v>
      </c>
      <c r="DJ145" s="62">
        <f>IF(COUNT(I145:U145)&lt;5,DA145,SUMPRODUCT(LARGE(I145:U145,{1,2,3,4,5}))/5)</f>
        <v>70.429791339461161</v>
      </c>
      <c r="DK145" s="62">
        <f>IF(COUNT(I145:AN145)&lt;5,DA145,SUMPRODUCT(LARGE(I145:AN145,{1,2,3,4,5}))/5)</f>
        <v>70.429791339461161</v>
      </c>
      <c r="DL145" s="62">
        <f>IF(COUNT(I145:CZ145)&lt;5,AVERAGE(I145:CZ145),SUMPRODUCT(LARGE(I145:CZ145,{1,2,3,4,5}))/5)</f>
        <v>72.310346584809281</v>
      </c>
      <c r="DM145" s="62">
        <f t="shared" si="53"/>
        <v>71.052713554887774</v>
      </c>
      <c r="DN145" s="13" t="str">
        <f t="shared" si="52"/>
        <v>Wilson, Helen</v>
      </c>
      <c r="DO145" s="7"/>
      <c r="DP145" s="16"/>
      <c r="DQ145" s="9"/>
      <c r="DR145" s="9"/>
      <c r="DS145" s="121"/>
      <c r="DT145" s="128"/>
      <c r="DU145" s="128"/>
      <c r="DV145" s="128"/>
      <c r="DW145" s="13"/>
      <c r="DX145" s="13"/>
      <c r="DY145" s="92"/>
      <c r="DZ145" s="83"/>
      <c r="EA145" s="13"/>
      <c r="EB145" s="13"/>
      <c r="EC145" s="13"/>
      <c r="ED145" s="13"/>
      <c r="EE145" s="13"/>
      <c r="EF145" s="13"/>
      <c r="EG145" s="13"/>
      <c r="EI145" s="152"/>
    </row>
    <row r="146" spans="1:139" x14ac:dyDescent="0.2">
      <c r="A146" s="7">
        <v>143</v>
      </c>
      <c r="B146" s="119" t="s">
        <v>429</v>
      </c>
      <c r="C146" s="9" t="s">
        <v>6</v>
      </c>
      <c r="D146" s="9" t="s">
        <v>32</v>
      </c>
      <c r="E146" s="10">
        <v>0</v>
      </c>
      <c r="F146" s="82">
        <v>0</v>
      </c>
      <c r="G146" s="9">
        <f t="shared" si="44"/>
        <v>1</v>
      </c>
      <c r="H146" s="93">
        <v>0</v>
      </c>
      <c r="I146" s="46"/>
      <c r="J146" s="11"/>
      <c r="K146" s="11"/>
      <c r="L146" s="11"/>
      <c r="M146" s="11"/>
      <c r="N146" s="96"/>
      <c r="O146" s="96"/>
      <c r="P146" s="11"/>
      <c r="Q146" s="11"/>
      <c r="R146" s="11"/>
      <c r="S146" s="96"/>
      <c r="T146" s="11"/>
      <c r="U146" s="11"/>
      <c r="V146" s="11"/>
      <c r="W146" s="11"/>
      <c r="X146" s="96"/>
      <c r="Y146" s="96"/>
      <c r="Z146" s="96"/>
      <c r="AA146" s="96"/>
      <c r="AB146" s="96"/>
      <c r="AC146" s="96"/>
      <c r="AD146" s="96"/>
      <c r="AE146" s="96"/>
      <c r="AF146" s="110"/>
      <c r="AG146" s="11"/>
      <c r="AH146" s="11"/>
      <c r="AI146" s="11"/>
      <c r="AJ146" s="11"/>
      <c r="AK146" s="11"/>
      <c r="AL146" s="11"/>
      <c r="AM146" s="11"/>
      <c r="AN146" s="250"/>
      <c r="AO146" s="251"/>
      <c r="AP146" s="11"/>
      <c r="AQ146" s="96"/>
      <c r="AR146" s="11"/>
      <c r="AS146" s="11"/>
      <c r="AT146" s="11"/>
      <c r="AU146" s="11"/>
      <c r="AV146" s="11">
        <f>(INDEX('Race 40'!$E$8:$E$200,(MATCH($B146,'Race 40'!$B$8:$B$200,0)),1))*100</f>
        <v>62.494071509736912</v>
      </c>
      <c r="AW146" s="11"/>
      <c r="AX146" s="11"/>
      <c r="AY146" s="96"/>
      <c r="AZ146" s="96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96"/>
      <c r="BX146" s="11"/>
      <c r="BY146" s="96"/>
      <c r="BZ146" s="11"/>
      <c r="CA146" s="11"/>
      <c r="CB146" s="11"/>
      <c r="CC146" s="11"/>
      <c r="CD146" s="11"/>
      <c r="CE146" s="11"/>
      <c r="CF146" s="11"/>
      <c r="CG146" s="96"/>
      <c r="CH146" s="11"/>
      <c r="CI146" s="11"/>
      <c r="CJ146" s="96"/>
      <c r="CK146" s="96"/>
      <c r="CL146" s="11"/>
      <c r="CM146" s="11"/>
      <c r="CN146" s="11"/>
      <c r="CO146" s="11"/>
      <c r="CP146" s="11"/>
      <c r="CQ146" s="11"/>
      <c r="CR146" s="11"/>
      <c r="CS146" s="11"/>
      <c r="CT146" s="11"/>
      <c r="CU146" s="20"/>
      <c r="CV146" s="11"/>
      <c r="CW146" s="20"/>
      <c r="CX146" s="11"/>
      <c r="CY146" s="11"/>
      <c r="CZ146" s="11"/>
      <c r="DA146" s="26">
        <f t="shared" si="45"/>
        <v>62.494071509736912</v>
      </c>
      <c r="DB146" s="53" t="str">
        <f t="shared" si="46"/>
        <v>Wilson, Laura</v>
      </c>
      <c r="DC146" s="68">
        <f t="shared" si="47"/>
        <v>1</v>
      </c>
      <c r="DD146" s="62">
        <v>66.367715995604314</v>
      </c>
      <c r="DE146" s="209">
        <f t="shared" si="48"/>
        <v>61.407164694641757</v>
      </c>
      <c r="DF146" s="115">
        <f t="shared" si="54"/>
        <v>0</v>
      </c>
      <c r="DG146" s="4">
        <f t="shared" si="49"/>
        <v>0</v>
      </c>
      <c r="DH146" s="115">
        <f t="shared" si="50"/>
        <v>1</v>
      </c>
      <c r="DI146" s="115" t="str">
        <f t="shared" si="51"/>
        <v>VT</v>
      </c>
      <c r="DJ146" s="62">
        <f>IF(COUNT(I146:U146)&lt;5,DA146,SUMPRODUCT(LARGE(I146:U146,{1,2,3,4,5}))/5)</f>
        <v>62.494071509736912</v>
      </c>
      <c r="DK146" s="62">
        <f>IF(COUNT(I146:AN146)&lt;5,DA146,SUMPRODUCT(LARGE(I146:AN146,{1,2,3,4,5}))/5)</f>
        <v>62.494071509736912</v>
      </c>
      <c r="DL146" s="209">
        <f>IF(COUNT(J146:CZ146)&lt;5,AVERAGE(J146:CZ146),SUMPRODUCT(LARGE(J146:CZ146,{1,2,3,4,5}))/5)</f>
        <v>62.494071509736912</v>
      </c>
      <c r="DM146" s="62">
        <f t="shared" si="53"/>
        <v>61.407164694641757</v>
      </c>
      <c r="DN146" s="13" t="str">
        <f t="shared" si="52"/>
        <v>Wilson, Laura</v>
      </c>
      <c r="DO146" s="7"/>
      <c r="DP146" s="16"/>
      <c r="DQ146" s="9"/>
      <c r="DR146" s="9"/>
      <c r="DS146" s="121"/>
      <c r="DT146" s="128"/>
      <c r="DU146" s="128"/>
      <c r="DV146" s="128"/>
      <c r="DW146" s="13"/>
      <c r="DX146" s="13"/>
      <c r="DY146" s="92"/>
      <c r="DZ146" s="83"/>
      <c r="EA146" s="13"/>
      <c r="EB146" s="13"/>
      <c r="EC146" s="13"/>
      <c r="ED146" s="13"/>
      <c r="EE146" s="13"/>
      <c r="EF146" s="13"/>
      <c r="EG146" s="13"/>
      <c r="EI146" s="152"/>
    </row>
    <row r="147" spans="1:139" x14ac:dyDescent="0.2">
      <c r="A147" s="7">
        <v>144</v>
      </c>
      <c r="B147" s="8" t="s">
        <v>453</v>
      </c>
      <c r="C147" s="9" t="s">
        <v>6</v>
      </c>
      <c r="D147" s="9" t="s">
        <v>36</v>
      </c>
      <c r="E147" s="10">
        <v>0</v>
      </c>
      <c r="F147" s="82">
        <v>0</v>
      </c>
      <c r="G147" s="9">
        <f t="shared" si="44"/>
        <v>1</v>
      </c>
      <c r="H147" s="93">
        <v>0</v>
      </c>
      <c r="I147" s="46"/>
      <c r="J147" s="96"/>
      <c r="K147" s="96"/>
      <c r="L147" s="96"/>
      <c r="M147" s="11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110"/>
      <c r="AG147" s="96"/>
      <c r="AH147" s="96"/>
      <c r="AI147" s="96"/>
      <c r="AJ147" s="96"/>
      <c r="AK147" s="96"/>
      <c r="AL147" s="96"/>
      <c r="AM147" s="96"/>
      <c r="AN147" s="252"/>
      <c r="AO147" s="251"/>
      <c r="AP147" s="96"/>
      <c r="AQ147" s="96"/>
      <c r="AR147" s="96"/>
      <c r="AS147" s="96"/>
      <c r="AT147" s="96"/>
      <c r="AU147" s="96"/>
      <c r="AV147" s="96"/>
      <c r="AW147" s="11"/>
      <c r="AX147" s="11"/>
      <c r="AY147" s="96"/>
      <c r="AZ147" s="96"/>
      <c r="BA147" s="11"/>
      <c r="BB147" s="11"/>
      <c r="BC147" s="11"/>
      <c r="BD147" s="96"/>
      <c r="BE147" s="11">
        <f>(INDEX('Race 49'!$E$8:$E$200,(MATCH($B147,'Race 49'!$B$8:$B$200,0)),1))*100</f>
        <v>40.332287729258759</v>
      </c>
      <c r="BF147" s="96"/>
      <c r="BG147" s="11"/>
      <c r="BH147" s="96"/>
      <c r="BI147" s="96"/>
      <c r="BJ147" s="96"/>
      <c r="BK147" s="96"/>
      <c r="BL147" s="11"/>
      <c r="BM147" s="11"/>
      <c r="BN147" s="96"/>
      <c r="BO147" s="96"/>
      <c r="BP147" s="96"/>
      <c r="BQ147" s="96"/>
      <c r="BR147" s="96"/>
      <c r="BS147" s="11"/>
      <c r="BT147" s="11"/>
      <c r="BU147" s="11"/>
      <c r="BV147" s="11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112"/>
      <c r="CV147" s="96"/>
      <c r="CW147" s="112"/>
      <c r="CX147" s="96"/>
      <c r="CY147" s="96"/>
      <c r="CZ147" s="96"/>
      <c r="DA147" s="26">
        <f t="shared" si="45"/>
        <v>40.332287729258759</v>
      </c>
      <c r="DB147" s="53" t="str">
        <f t="shared" si="46"/>
        <v>Wineland, Emma</v>
      </c>
      <c r="DC147" s="68">
        <f t="shared" si="47"/>
        <v>1</v>
      </c>
      <c r="DD147" s="62">
        <v>66.367715995604314</v>
      </c>
      <c r="DE147" s="209">
        <f t="shared" si="48"/>
        <v>39.630822176730632</v>
      </c>
      <c r="DF147" s="115">
        <f t="shared" si="54"/>
        <v>0</v>
      </c>
      <c r="DG147" s="4">
        <f t="shared" si="49"/>
        <v>0</v>
      </c>
      <c r="DH147" s="115">
        <f t="shared" si="50"/>
        <v>1</v>
      </c>
      <c r="DI147" s="115" t="str">
        <f t="shared" si="51"/>
        <v>WA</v>
      </c>
      <c r="DJ147" s="62">
        <f>IF(COUNT(I147:U147)&lt;5,DA147,SUMPRODUCT(LARGE(I147:U147,{1,2,3,4,5}))/5)</f>
        <v>40.332287729258759</v>
      </c>
      <c r="DK147" s="62">
        <f>IF(COUNT(I147:AN147)&lt;5,DA147,SUMPRODUCT(LARGE(I147:AN147,{1,2,3,4,5}))/5)</f>
        <v>40.332287729258759</v>
      </c>
      <c r="DL147" s="209">
        <f>IF(COUNT(J147:CZ147)&lt;5,AVERAGE(J147:CZ147),SUMPRODUCT(LARGE(J147:CZ147,{1,2,3,4,5}))/5)</f>
        <v>40.332287729258759</v>
      </c>
      <c r="DM147" s="62">
        <f t="shared" si="53"/>
        <v>39.630822176730632</v>
      </c>
      <c r="DN147" s="13" t="str">
        <f t="shared" si="52"/>
        <v>Wineland, Emma</v>
      </c>
      <c r="DO147" s="7"/>
      <c r="DP147" s="16"/>
      <c r="DQ147" s="9"/>
      <c r="DR147" s="9"/>
      <c r="DS147" s="121"/>
      <c r="DT147" s="128"/>
      <c r="DU147" s="128"/>
      <c r="DV147" s="128"/>
      <c r="DW147" s="13"/>
      <c r="DX147" s="13"/>
      <c r="DY147" s="92"/>
      <c r="DZ147" s="83"/>
      <c r="EA147" s="13"/>
      <c r="EB147" s="13"/>
      <c r="EC147" s="13"/>
      <c r="ED147" s="13"/>
      <c r="EE147" s="13"/>
      <c r="EF147" s="13"/>
      <c r="EG147" s="13"/>
      <c r="EI147" s="152"/>
    </row>
    <row r="148" spans="1:139" x14ac:dyDescent="0.2">
      <c r="A148" s="7">
        <v>145</v>
      </c>
      <c r="B148" s="119" t="s">
        <v>389</v>
      </c>
      <c r="C148" s="9" t="s">
        <v>6</v>
      </c>
      <c r="D148" s="9" t="s">
        <v>36</v>
      </c>
      <c r="E148" s="10">
        <v>0</v>
      </c>
      <c r="F148" s="82">
        <v>46.432260513221678</v>
      </c>
      <c r="G148" s="9">
        <f t="shared" si="44"/>
        <v>2</v>
      </c>
      <c r="H148" s="93">
        <v>0</v>
      </c>
      <c r="I148" s="46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96"/>
      <c r="U148" s="11"/>
      <c r="V148" s="11"/>
      <c r="W148" s="11"/>
      <c r="X148" s="96"/>
      <c r="Y148" s="96"/>
      <c r="Z148" s="96"/>
      <c r="AA148" s="96"/>
      <c r="AB148" s="96"/>
      <c r="AC148" s="96"/>
      <c r="AD148" s="96"/>
      <c r="AE148" s="96"/>
      <c r="AF148" s="110"/>
      <c r="AG148" s="11"/>
      <c r="AH148" s="11">
        <f>(INDEX('Race 26'!$E$8:$E$200,(MATCH($B148,'Race 26'!$B$8:$B$200,0)),1))*100</f>
        <v>46.432260513221678</v>
      </c>
      <c r="AI148" s="11"/>
      <c r="AJ148" s="11"/>
      <c r="AK148" s="11"/>
      <c r="AL148" s="11"/>
      <c r="AM148" s="11"/>
      <c r="AN148" s="250"/>
      <c r="AO148" s="25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96"/>
      <c r="BA148" s="11"/>
      <c r="BB148" s="11"/>
      <c r="BC148" s="96"/>
      <c r="BD148" s="11"/>
      <c r="BE148" s="11">
        <f>(INDEX('Race 49'!$E$8:$E$200,(MATCH($B148,'Race 49'!$B$8:$B$200,0)),1))*100</f>
        <v>42.748198475104552</v>
      </c>
      <c r="BF148" s="11"/>
      <c r="BG148" s="11"/>
      <c r="BH148" s="11"/>
      <c r="BI148" s="11"/>
      <c r="BJ148" s="11"/>
      <c r="BK148" s="11"/>
      <c r="BL148" s="11"/>
      <c r="BM148" s="11"/>
      <c r="BN148" s="96"/>
      <c r="BO148" s="11"/>
      <c r="BP148" s="11"/>
      <c r="BQ148" s="11"/>
      <c r="BR148" s="11"/>
      <c r="BS148" s="11"/>
      <c r="BT148" s="11"/>
      <c r="BU148" s="11"/>
      <c r="BV148" s="11"/>
      <c r="BW148" s="96"/>
      <c r="BX148" s="11"/>
      <c r="BY148" s="11"/>
      <c r="BZ148" s="11"/>
      <c r="CA148" s="11"/>
      <c r="CB148" s="11"/>
      <c r="CC148" s="11"/>
      <c r="CD148" s="11"/>
      <c r="CE148" s="11"/>
      <c r="CF148" s="11"/>
      <c r="CG148" s="96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20"/>
      <c r="CV148" s="11"/>
      <c r="CW148" s="20"/>
      <c r="CX148" s="96"/>
      <c r="CY148" s="96"/>
      <c r="CZ148" s="11"/>
      <c r="DA148" s="26">
        <f t="shared" si="45"/>
        <v>44.590229494163111</v>
      </c>
      <c r="DB148" s="53" t="str">
        <f t="shared" si="46"/>
        <v>WINELAND, Samantha</v>
      </c>
      <c r="DC148" s="68">
        <f t="shared" si="47"/>
        <v>1</v>
      </c>
      <c r="DD148" s="62">
        <v>66.367715995604314</v>
      </c>
      <c r="DE148" s="209">
        <f t="shared" si="48"/>
        <v>43.814709142343631</v>
      </c>
      <c r="DF148" s="115">
        <f t="shared" si="54"/>
        <v>0</v>
      </c>
      <c r="DG148" s="4">
        <f t="shared" si="49"/>
        <v>1</v>
      </c>
      <c r="DH148" s="115">
        <f t="shared" si="50"/>
        <v>2</v>
      </c>
      <c r="DI148" s="115" t="str">
        <f t="shared" si="51"/>
        <v>WA</v>
      </c>
      <c r="DJ148" s="62">
        <f>IF(COUNT(I148:U148)&lt;5,DA148,SUMPRODUCT(LARGE(I148:U148,{1,2,3,4,5}))/5)</f>
        <v>44.590229494163111</v>
      </c>
      <c r="DK148" s="62">
        <f>IF(COUNT(I148:AN148)&lt;5,DA148,SUMPRODUCT(LARGE(I148:AN148,{1,2,3,4,5}))/5)</f>
        <v>44.590229494163111</v>
      </c>
      <c r="DL148" s="209">
        <f>IF(COUNT(J148:CZ148)&lt;5,AVERAGE(J148:CZ148),SUMPRODUCT(LARGE(J148:CZ148,{1,2,3,4,5}))/5)</f>
        <v>44.590229494163111</v>
      </c>
      <c r="DM148" s="62">
        <f t="shared" si="53"/>
        <v>43.814709142343631</v>
      </c>
      <c r="DN148" s="13" t="str">
        <f t="shared" si="52"/>
        <v>WINELAND, Samantha</v>
      </c>
      <c r="DO148" s="7"/>
      <c r="DP148" s="16"/>
      <c r="DQ148" s="9"/>
      <c r="DR148" s="9"/>
      <c r="DS148" s="121"/>
      <c r="DT148" s="128"/>
      <c r="DU148" s="128"/>
      <c r="DV148" s="128"/>
      <c r="DW148" s="13"/>
      <c r="DX148" s="13"/>
      <c r="DY148" s="92"/>
      <c r="DZ148" s="83"/>
      <c r="EA148" s="13"/>
      <c r="EB148" s="13"/>
      <c r="EC148" s="13"/>
      <c r="ED148" s="13"/>
      <c r="EE148" s="13"/>
      <c r="EF148" s="13"/>
      <c r="EG148" s="13"/>
      <c r="EI148" s="152"/>
    </row>
    <row r="149" spans="1:139" x14ac:dyDescent="0.2">
      <c r="A149" s="7">
        <v>146</v>
      </c>
      <c r="B149" s="119" t="s">
        <v>220</v>
      </c>
      <c r="C149" s="9" t="s">
        <v>5</v>
      </c>
      <c r="D149" s="9" t="s">
        <v>37</v>
      </c>
      <c r="E149" s="10">
        <v>40.612356461444939</v>
      </c>
      <c r="F149" s="82">
        <v>40.612356461444939</v>
      </c>
      <c r="G149" s="9">
        <f t="shared" si="44"/>
        <v>0</v>
      </c>
      <c r="H149" s="93">
        <v>40.612356461444939</v>
      </c>
      <c r="I149" s="46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96"/>
      <c r="U149" s="11"/>
      <c r="V149" s="11"/>
      <c r="W149" s="11"/>
      <c r="X149" s="96"/>
      <c r="Y149" s="96"/>
      <c r="Z149" s="96"/>
      <c r="AA149" s="96"/>
      <c r="AB149" s="96"/>
      <c r="AC149" s="96"/>
      <c r="AD149" s="96"/>
      <c r="AE149" s="96"/>
      <c r="AF149" s="110"/>
      <c r="AG149" s="11"/>
      <c r="AH149" s="11"/>
      <c r="AI149" s="11"/>
      <c r="AJ149" s="11"/>
      <c r="AK149" s="11"/>
      <c r="AL149" s="11"/>
      <c r="AM149" s="11"/>
      <c r="AN149" s="250"/>
      <c r="AO149" s="251"/>
      <c r="AP149" s="11"/>
      <c r="AQ149" s="11"/>
      <c r="AR149" s="11"/>
      <c r="AS149" s="11"/>
      <c r="AT149" s="11"/>
      <c r="AU149" s="11"/>
      <c r="AV149" s="11"/>
      <c r="AW149" s="11"/>
      <c r="AX149" s="11"/>
      <c r="AY149" s="96"/>
      <c r="AZ149" s="96"/>
      <c r="BA149" s="11"/>
      <c r="BB149" s="11"/>
      <c r="BC149" s="96"/>
      <c r="BD149" s="11"/>
      <c r="BE149" s="96"/>
      <c r="BF149" s="11"/>
      <c r="BG149" s="11"/>
      <c r="BH149" s="11"/>
      <c r="BI149" s="11"/>
      <c r="BJ149" s="11"/>
      <c r="BK149" s="11"/>
      <c r="BL149" s="11"/>
      <c r="BM149" s="11"/>
      <c r="BN149" s="96"/>
      <c r="BO149" s="11"/>
      <c r="BP149" s="11"/>
      <c r="BQ149" s="11"/>
      <c r="BR149" s="11"/>
      <c r="BS149" s="11"/>
      <c r="BT149" s="11"/>
      <c r="BU149" s="11"/>
      <c r="BV149" s="11"/>
      <c r="BW149" s="96"/>
      <c r="BX149" s="11"/>
      <c r="BY149" s="11"/>
      <c r="BZ149" s="11"/>
      <c r="CA149" s="11"/>
      <c r="CB149" s="11"/>
      <c r="CC149" s="11"/>
      <c r="CD149" s="11"/>
      <c r="CE149" s="11"/>
      <c r="CF149" s="11"/>
      <c r="CG149" s="96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20"/>
      <c r="CV149" s="11"/>
      <c r="CW149" s="20"/>
      <c r="CX149" s="96"/>
      <c r="CY149" s="96"/>
      <c r="CZ149" s="11"/>
      <c r="DA149" s="26">
        <f t="shared" si="45"/>
        <v>40.612356461444939</v>
      </c>
      <c r="DB149" s="42" t="str">
        <f t="shared" si="46"/>
        <v>Winkfein, Laura</v>
      </c>
      <c r="DC149" s="43">
        <f t="shared" si="47"/>
        <v>0</v>
      </c>
      <c r="DD149" s="62">
        <v>40.612356461444939</v>
      </c>
      <c r="DE149" s="62">
        <f t="shared" si="48"/>
        <v>0</v>
      </c>
      <c r="DF149" s="4">
        <f t="shared" si="54"/>
        <v>0</v>
      </c>
      <c r="DG149" s="4">
        <f t="shared" si="49"/>
        <v>0</v>
      </c>
      <c r="DH149" s="4">
        <f t="shared" si="50"/>
        <v>0</v>
      </c>
      <c r="DI149" s="4" t="str">
        <f t="shared" si="51"/>
        <v>CO</v>
      </c>
      <c r="DJ149" s="62">
        <f>IF(COUNT(I149:U149)&lt;5,DA149,SUMPRODUCT(LARGE(I149:U149,{1,2,3,4,5}))/5)</f>
        <v>40.612356461444939</v>
      </c>
      <c r="DK149" s="62">
        <f>IF(COUNT(I149:AN149)&lt;5,DA149,SUMPRODUCT(LARGE(I149:AN149,{1,2,3,4,5}))/5)</f>
        <v>40.612356461444939</v>
      </c>
      <c r="DL149" s="209">
        <f>IF(COUNT(J149:CZ149)=0,0,SUMPRODUCT(LARGE(J149:CZ149,{1,2,3,4,5}))/5)</f>
        <v>0</v>
      </c>
      <c r="DM149" s="62">
        <f t="shared" si="53"/>
        <v>0</v>
      </c>
      <c r="DN149" s="13" t="str">
        <f t="shared" si="52"/>
        <v>Winkfein, Laura</v>
      </c>
      <c r="DO149" s="7"/>
      <c r="DP149" s="16"/>
      <c r="DQ149" s="9"/>
      <c r="DR149" s="9"/>
      <c r="DS149" s="121"/>
      <c r="DT149" s="128"/>
      <c r="DU149" s="128"/>
      <c r="DV149" s="128"/>
      <c r="DW149" s="13"/>
      <c r="DX149" s="13"/>
      <c r="DY149" s="92"/>
      <c r="DZ149" s="83"/>
      <c r="EA149" s="13"/>
      <c r="EB149" s="13"/>
      <c r="EC149" s="13"/>
      <c r="ED149" s="13"/>
      <c r="EE149" s="13"/>
      <c r="EF149" s="13"/>
      <c r="EG149" s="13"/>
      <c r="EI149" s="152"/>
    </row>
    <row r="150" spans="1:139" x14ac:dyDescent="0.2">
      <c r="A150" s="7">
        <v>147</v>
      </c>
      <c r="B150" s="119" t="s">
        <v>252</v>
      </c>
      <c r="C150" s="9" t="s">
        <v>6</v>
      </c>
      <c r="D150" s="9" t="s">
        <v>41</v>
      </c>
      <c r="E150" s="10">
        <v>67.727863216770146</v>
      </c>
      <c r="F150" s="82">
        <v>67.727863216770146</v>
      </c>
      <c r="G150" s="9">
        <f t="shared" si="44"/>
        <v>5</v>
      </c>
      <c r="H150" s="93">
        <v>66.367715995604314</v>
      </c>
      <c r="I150" s="46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>
        <f>(INDEX('Race 12'!$E$8:$E$200,(MATCH($B150,'Race 12'!$B$8:$B$200,0)),1))*100</f>
        <v>68.217875319059388</v>
      </c>
      <c r="U150" s="11">
        <f>(INDEX('Race 13'!$E$8:$E$200,(MATCH($B150,'Race 13'!$B$8:$B$200,0)),1))*100</f>
        <v>67.237851114480904</v>
      </c>
      <c r="V150" s="11"/>
      <c r="W150" s="11"/>
      <c r="X150" s="96"/>
      <c r="Y150" s="96"/>
      <c r="Z150" s="96"/>
      <c r="AA150" s="96"/>
      <c r="AB150" s="96"/>
      <c r="AC150" s="96"/>
      <c r="AD150" s="96"/>
      <c r="AE150" s="96"/>
      <c r="AF150" s="110"/>
      <c r="AG150" s="11"/>
      <c r="AH150" s="11"/>
      <c r="AI150" s="11"/>
      <c r="AJ150" s="11"/>
      <c r="AK150" s="11"/>
      <c r="AL150" s="11"/>
      <c r="AM150" s="11"/>
      <c r="AN150" s="250"/>
      <c r="AO150" s="25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96"/>
      <c r="BA150" s="11"/>
      <c r="BB150" s="11"/>
      <c r="BC150" s="96"/>
      <c r="BD150" s="11"/>
      <c r="BE150" s="96"/>
      <c r="BF150" s="11"/>
      <c r="BG150" s="11"/>
      <c r="BH150" s="11"/>
      <c r="BI150" s="11"/>
      <c r="BJ150" s="11"/>
      <c r="BK150" s="11"/>
      <c r="BL150" s="11"/>
      <c r="BM150" s="11"/>
      <c r="BN150" s="96"/>
      <c r="BO150" s="11"/>
      <c r="BP150" s="11">
        <f>(INDEX('Race 60'!$E$8:$E$200,(MATCH($B150,'Race 60'!$B$8:$B$200,0)),1))*100</f>
        <v>74.040638286236785</v>
      </c>
      <c r="BQ150" s="11"/>
      <c r="BR150" s="11">
        <f>(INDEX('Race 62'!$E$8:$E$200,(MATCH($B150,'Race 62'!$B$8:$B$200,0)),1))*100</f>
        <v>70.248451105045135</v>
      </c>
      <c r="BS150" s="11"/>
      <c r="BT150" s="11"/>
      <c r="BU150" s="11"/>
      <c r="BV150" s="11"/>
      <c r="BW150" s="96"/>
      <c r="BX150" s="11">
        <f>(INDEX('Race 68'!$E$8:$E$200,(MATCH($B150,'Race 68'!$B$8:$B$200,0)),1))*100</f>
        <v>70.539328965474283</v>
      </c>
      <c r="BY150" s="11"/>
      <c r="BZ150" s="11"/>
      <c r="CA150" s="11"/>
      <c r="CB150" s="11"/>
      <c r="CC150" s="11"/>
      <c r="CD150" s="11"/>
      <c r="CE150" s="11"/>
      <c r="CF150" s="11"/>
      <c r="CG150" s="96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20"/>
      <c r="CV150" s="11"/>
      <c r="CW150" s="20"/>
      <c r="CX150" s="96"/>
      <c r="CY150" s="96"/>
      <c r="CZ150" s="11"/>
      <c r="DA150" s="26">
        <f t="shared" si="45"/>
        <v>70.056828958059299</v>
      </c>
      <c r="DB150" s="53" t="str">
        <f t="shared" si="46"/>
        <v>Woods, Ariana</v>
      </c>
      <c r="DC150" s="68">
        <f t="shared" si="47"/>
        <v>1</v>
      </c>
      <c r="DD150" s="62">
        <v>66.367715995604314</v>
      </c>
      <c r="DE150" s="209">
        <f t="shared" si="48"/>
        <v>68.838389464536988</v>
      </c>
      <c r="DF150" s="115">
        <f t="shared" si="54"/>
        <v>2</v>
      </c>
      <c r="DG150" s="4">
        <f t="shared" si="49"/>
        <v>2</v>
      </c>
      <c r="DH150" s="115">
        <f t="shared" si="50"/>
        <v>5</v>
      </c>
      <c r="DI150" s="115" t="str">
        <f t="shared" si="51"/>
        <v>MT</v>
      </c>
      <c r="DJ150" s="62">
        <f>IF(COUNT(I150:U150)&lt;5,DA150,SUMPRODUCT(LARGE(I150:U150,{1,2,3,4,5}))/5)</f>
        <v>70.056828958059299</v>
      </c>
      <c r="DK150" s="62">
        <f>IF(COUNT(I150:AN150)&lt;5,DA150,SUMPRODUCT(LARGE(I150:AN150,{1,2,3,4,5}))/5)</f>
        <v>70.056828958059299</v>
      </c>
      <c r="DL150" s="209">
        <f>IF(COUNT(J150:CZ150)&lt;5,AVERAGE(J150:CZ150),SUMPRODUCT(LARGE(J150:CZ150,{1,2,3,4,5}))/5)</f>
        <v>70.056828958059299</v>
      </c>
      <c r="DM150" s="62">
        <f t="shared" si="53"/>
        <v>68.838389464536988</v>
      </c>
      <c r="DN150" s="13" t="str">
        <f t="shared" si="52"/>
        <v>Woods, Ariana</v>
      </c>
      <c r="DO150" s="7"/>
      <c r="DP150" s="16"/>
      <c r="DQ150" s="9"/>
      <c r="DR150" s="9"/>
      <c r="DS150" s="121"/>
      <c r="DT150" s="128"/>
      <c r="DU150" s="128"/>
      <c r="DV150" s="128"/>
      <c r="DW150" s="13"/>
      <c r="DX150" s="13"/>
      <c r="DY150" s="92"/>
      <c r="DZ150" s="83"/>
      <c r="EA150" s="13"/>
      <c r="EB150" s="13"/>
      <c r="EC150" s="13"/>
      <c r="ED150" s="13"/>
      <c r="EE150" s="13"/>
      <c r="EF150" s="13"/>
      <c r="EG150" s="13"/>
      <c r="EI150" s="152"/>
    </row>
    <row r="151" spans="1:139" x14ac:dyDescent="0.2">
      <c r="A151" s="7">
        <v>148</v>
      </c>
      <c r="B151" s="16" t="s">
        <v>420</v>
      </c>
      <c r="C151" s="9" t="s">
        <v>5</v>
      </c>
      <c r="D151" s="9" t="s">
        <v>35</v>
      </c>
      <c r="E151" s="10">
        <v>0</v>
      </c>
      <c r="F151" s="82">
        <v>30.927437876377475</v>
      </c>
      <c r="G151" s="9">
        <f t="shared" si="44"/>
        <v>2</v>
      </c>
      <c r="H151" s="93">
        <v>0</v>
      </c>
      <c r="I151" s="46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96"/>
      <c r="U151" s="11"/>
      <c r="V151" s="11"/>
      <c r="W151" s="11"/>
      <c r="X151" s="96"/>
      <c r="Y151" s="96"/>
      <c r="Z151" s="96"/>
      <c r="AA151" s="96"/>
      <c r="AB151" s="96"/>
      <c r="AC151" s="96"/>
      <c r="AD151" s="96"/>
      <c r="AE151" s="96"/>
      <c r="AF151" s="110"/>
      <c r="AG151" s="11"/>
      <c r="AH151" s="11"/>
      <c r="AI151" s="11"/>
      <c r="AJ151" s="11"/>
      <c r="AK151" s="11"/>
      <c r="AL151" s="11"/>
      <c r="AM151" s="11">
        <f>(INDEX('Race 31'!$E$8:$E$200,(MATCH($B151,'Race 31'!$B$8:$B$200,0)),1))*100</f>
        <v>31.126253520269699</v>
      </c>
      <c r="AN151" s="250">
        <f>(INDEX('Race 32'!$E$8:$E$200,(MATCH($B151,'Race 32'!$B$8:$B$200,0)),1))*100</f>
        <v>30.728622232485254</v>
      </c>
      <c r="AO151" s="25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96"/>
      <c r="BA151" s="11"/>
      <c r="BB151" s="11"/>
      <c r="BC151" s="96"/>
      <c r="BD151" s="11"/>
      <c r="BE151" s="96"/>
      <c r="BF151" s="11"/>
      <c r="BG151" s="11"/>
      <c r="BH151" s="11"/>
      <c r="BI151" s="11"/>
      <c r="BJ151" s="11"/>
      <c r="BK151" s="11"/>
      <c r="BL151" s="11"/>
      <c r="BM151" s="11"/>
      <c r="BN151" s="96"/>
      <c r="BO151" s="11"/>
      <c r="BP151" s="11"/>
      <c r="BQ151" s="11"/>
      <c r="BR151" s="11"/>
      <c r="BS151" s="11"/>
      <c r="BT151" s="11"/>
      <c r="BU151" s="11"/>
      <c r="BV151" s="11"/>
      <c r="BW151" s="96"/>
      <c r="BX151" s="11"/>
      <c r="BY151" s="11"/>
      <c r="BZ151" s="11"/>
      <c r="CA151" s="11"/>
      <c r="CB151" s="11"/>
      <c r="CC151" s="11"/>
      <c r="CD151" s="11"/>
      <c r="CE151" s="11"/>
      <c r="CF151" s="11"/>
      <c r="CG151" s="96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20"/>
      <c r="CV151" s="11"/>
      <c r="CW151" s="20"/>
      <c r="CX151" s="96"/>
      <c r="CY151" s="96"/>
      <c r="CZ151" s="11"/>
      <c r="DA151" s="26">
        <f t="shared" si="45"/>
        <v>30.927437876377475</v>
      </c>
      <c r="DB151" s="53" t="str">
        <f t="shared" si="46"/>
        <v>Woodward, Annabel</v>
      </c>
      <c r="DC151" s="68">
        <f t="shared" si="47"/>
        <v>1</v>
      </c>
      <c r="DD151" s="62">
        <v>0</v>
      </c>
      <c r="DE151" s="209">
        <f t="shared" si="48"/>
        <v>30.389542965881375</v>
      </c>
      <c r="DF151" s="115">
        <f t="shared" si="54"/>
        <v>0</v>
      </c>
      <c r="DG151" s="4">
        <f t="shared" si="49"/>
        <v>2</v>
      </c>
      <c r="DH151" s="115">
        <f t="shared" si="50"/>
        <v>2</v>
      </c>
      <c r="DI151" s="115" t="str">
        <f t="shared" si="51"/>
        <v>WY</v>
      </c>
      <c r="DJ151" s="62">
        <f>IF(COUNT(I151:U151)&lt;5,DA151,SUMPRODUCT(LARGE(I151:U151,{1,2,3,4,5}))/5)</f>
        <v>30.927437876377475</v>
      </c>
      <c r="DK151" s="62">
        <f>IF(COUNT(I151:AN151)&lt;5,DA151,SUMPRODUCT(LARGE(I151:AN151,{1,2,3,4,5}))/5)</f>
        <v>30.927437876377475</v>
      </c>
      <c r="DL151" s="209">
        <f>IF(COUNT(J151:CZ151)&lt;5,AVERAGE(J151:CZ151),SUMPRODUCT(LARGE(J151:CZ151,{1,2,3,4,5}))/5)</f>
        <v>30.927437876377475</v>
      </c>
      <c r="DM151" s="62">
        <f t="shared" si="53"/>
        <v>30.389542965881375</v>
      </c>
      <c r="DN151" s="13" t="str">
        <f t="shared" si="52"/>
        <v>Woodward, Annabel</v>
      </c>
      <c r="DO151" s="7"/>
      <c r="DP151" s="16"/>
      <c r="DQ151" s="9"/>
      <c r="DR151" s="9"/>
      <c r="DS151" s="121"/>
      <c r="DT151" s="128"/>
      <c r="DU151" s="128"/>
      <c r="DV151" s="128"/>
      <c r="DW151" s="13"/>
      <c r="DX151" s="13"/>
      <c r="DY151" s="92"/>
      <c r="DZ151" s="83"/>
      <c r="EA151" s="13"/>
      <c r="EB151" s="13"/>
      <c r="EC151" s="13"/>
      <c r="ED151" s="13"/>
      <c r="EE151" s="13"/>
      <c r="EF151" s="13"/>
      <c r="EG151" s="13"/>
      <c r="EI151" s="152"/>
    </row>
    <row r="152" spans="1:139" x14ac:dyDescent="0.2">
      <c r="A152" s="7">
        <v>149</v>
      </c>
      <c r="B152" s="119" t="s">
        <v>367</v>
      </c>
      <c r="C152" s="9" t="s">
        <v>6</v>
      </c>
      <c r="D152" s="9" t="s">
        <v>31</v>
      </c>
      <c r="E152" s="10">
        <v>58.693311595340241</v>
      </c>
      <c r="F152" s="82">
        <v>58.693311595340241</v>
      </c>
      <c r="G152" s="9">
        <f t="shared" si="44"/>
        <v>2</v>
      </c>
      <c r="H152" s="93">
        <v>0</v>
      </c>
      <c r="I152" s="46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>
        <f>(INDEX('Race 12'!$E$8:$E$200,(MATCH($B152,'Race 12'!$B$8:$B$200,0)),1))*100</f>
        <v>60.181738174144016</v>
      </c>
      <c r="U152" s="11">
        <f>(INDEX('Race 13'!$E$8:$E$200,(MATCH($B152,'Race 13'!$B$8:$B$200,0)),1))*100</f>
        <v>57.204885016536466</v>
      </c>
      <c r="V152" s="11"/>
      <c r="W152" s="11"/>
      <c r="X152" s="96"/>
      <c r="Y152" s="96"/>
      <c r="Z152" s="96"/>
      <c r="AA152" s="96"/>
      <c r="AB152" s="96"/>
      <c r="AC152" s="96"/>
      <c r="AD152" s="96"/>
      <c r="AE152" s="96"/>
      <c r="AF152" s="110"/>
      <c r="AG152" s="11"/>
      <c r="AH152" s="11"/>
      <c r="AI152" s="11"/>
      <c r="AJ152" s="11"/>
      <c r="AK152" s="11"/>
      <c r="AL152" s="11"/>
      <c r="AM152" s="11"/>
      <c r="AN152" s="250"/>
      <c r="AO152" s="25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96"/>
      <c r="BA152" s="11"/>
      <c r="BB152" s="11"/>
      <c r="BC152" s="96"/>
      <c r="BD152" s="11"/>
      <c r="BE152" s="96"/>
      <c r="BF152" s="11"/>
      <c r="BG152" s="11"/>
      <c r="BH152" s="11"/>
      <c r="BI152" s="11"/>
      <c r="BJ152" s="11"/>
      <c r="BK152" s="11"/>
      <c r="BL152" s="11"/>
      <c r="BM152" s="11"/>
      <c r="BN152" s="96"/>
      <c r="BO152" s="11"/>
      <c r="BP152" s="11"/>
      <c r="BQ152" s="11"/>
      <c r="BR152" s="11"/>
      <c r="BS152" s="11"/>
      <c r="BT152" s="11"/>
      <c r="BU152" s="11"/>
      <c r="BV152" s="11"/>
      <c r="BW152" s="96"/>
      <c r="BX152" s="11"/>
      <c r="BY152" s="11"/>
      <c r="BZ152" s="11"/>
      <c r="CA152" s="11"/>
      <c r="CB152" s="11"/>
      <c r="CC152" s="11"/>
      <c r="CD152" s="11"/>
      <c r="CE152" s="11"/>
      <c r="CF152" s="11"/>
      <c r="CG152" s="96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20"/>
      <c r="CV152" s="11"/>
      <c r="CW152" s="20"/>
      <c r="CX152" s="96"/>
      <c r="CY152" s="96"/>
      <c r="CZ152" s="11"/>
      <c r="DA152" s="26">
        <f t="shared" si="45"/>
        <v>58.693311595340241</v>
      </c>
      <c r="DB152" s="53" t="str">
        <f t="shared" si="46"/>
        <v>Wyland, Lucia</v>
      </c>
      <c r="DC152" s="68">
        <f t="shared" si="47"/>
        <v>1</v>
      </c>
      <c r="DD152" s="62">
        <v>0</v>
      </c>
      <c r="DE152" s="209">
        <f t="shared" si="48"/>
        <v>57.672508200196759</v>
      </c>
      <c r="DF152" s="115">
        <f t="shared" si="54"/>
        <v>2</v>
      </c>
      <c r="DG152" s="4">
        <f t="shared" si="49"/>
        <v>2</v>
      </c>
      <c r="DH152" s="115">
        <f t="shared" si="50"/>
        <v>2</v>
      </c>
      <c r="DI152" s="115" t="str">
        <f t="shared" si="51"/>
        <v>MN</v>
      </c>
      <c r="DJ152" s="62">
        <f>IF(COUNT(I152:U152)&lt;5,DA152,SUMPRODUCT(LARGE(I152:U152,{1,2,3,4,5}))/5)</f>
        <v>58.693311595340241</v>
      </c>
      <c r="DK152" s="62">
        <f>IF(COUNT(I152:AN152)&lt;5,DA152,SUMPRODUCT(LARGE(I152:AN152,{1,2,3,4,5}))/5)</f>
        <v>58.693311595340241</v>
      </c>
      <c r="DL152" s="209">
        <f>IF(COUNT(J152:CZ152)&lt;5,AVERAGE(J152:CZ152),SUMPRODUCT(LARGE(J152:CZ152,{1,2,3,4,5}))/5)</f>
        <v>58.693311595340241</v>
      </c>
      <c r="DM152" s="62">
        <f t="shared" si="53"/>
        <v>57.672508200196759</v>
      </c>
      <c r="DN152" s="13" t="str">
        <f t="shared" si="52"/>
        <v>Wyland, Lucia</v>
      </c>
      <c r="DO152" s="7">
        <v>82</v>
      </c>
      <c r="DP152" s="8"/>
      <c r="DQ152" s="9"/>
      <c r="DR152" s="9"/>
      <c r="DS152" s="121"/>
      <c r="DT152" s="128"/>
      <c r="DU152" s="128"/>
      <c r="DV152" s="128"/>
      <c r="DW152" s="13"/>
      <c r="DX152" s="13"/>
      <c r="DY152" s="13"/>
      <c r="DZ152" s="83"/>
      <c r="EA152" s="13"/>
      <c r="EB152" s="13"/>
      <c r="EC152" s="13"/>
      <c r="ED152" s="13"/>
      <c r="EE152" s="13"/>
      <c r="EF152" s="13"/>
      <c r="EG152" s="13"/>
      <c r="EI152" s="152"/>
    </row>
    <row r="153" spans="1:139" x14ac:dyDescent="0.2">
      <c r="A153" s="7">
        <v>150</v>
      </c>
      <c r="B153" s="8" t="s">
        <v>434</v>
      </c>
      <c r="C153" s="9" t="s">
        <v>5</v>
      </c>
      <c r="D153" s="9" t="s">
        <v>37</v>
      </c>
      <c r="E153" s="10">
        <v>0</v>
      </c>
      <c r="F153" s="82">
        <v>0</v>
      </c>
      <c r="G153" s="9">
        <f t="shared" si="44"/>
        <v>2</v>
      </c>
      <c r="H153" s="93">
        <v>0</v>
      </c>
      <c r="I153" s="11"/>
      <c r="J153" s="11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11"/>
      <c r="AI153" s="96"/>
      <c r="AJ153" s="96"/>
      <c r="AK153" s="11"/>
      <c r="AL153" s="96"/>
      <c r="AM153" s="11"/>
      <c r="AN153" s="252"/>
      <c r="AO153" s="251"/>
      <c r="AP153" s="11"/>
      <c r="AQ153" s="96"/>
      <c r="AR153" s="11"/>
      <c r="AS153" s="11"/>
      <c r="AT153" s="11"/>
      <c r="AU153" s="11"/>
      <c r="AV153" s="96"/>
      <c r="AW153" s="11">
        <f>(INDEX('Race 41'!$E$8:$E$200,(MATCH($B153,'Race 41'!$B$8:$B$200,0)),1))*100</f>
        <v>42.972661407494705</v>
      </c>
      <c r="AX153" s="11">
        <f>(INDEX('Race 42'!$E$8:$E$200,(MATCH($B153,'Race 42'!$B$8:$B$200,0)),1))*100</f>
        <v>52.126472951083549</v>
      </c>
      <c r="AY153" s="96"/>
      <c r="AZ153" s="96"/>
      <c r="BA153" s="11"/>
      <c r="BB153" s="11"/>
      <c r="BC153" s="96"/>
      <c r="BD153" s="96"/>
      <c r="BE153" s="96"/>
      <c r="BF153" s="96"/>
      <c r="BG153" s="96"/>
      <c r="BH153" s="96"/>
      <c r="BI153" s="96"/>
      <c r="BJ153" s="96"/>
      <c r="BK153" s="96"/>
      <c r="BL153" s="11"/>
      <c r="BM153" s="11"/>
      <c r="BN153" s="96"/>
      <c r="BO153" s="96"/>
      <c r="BP153" s="96"/>
      <c r="BQ153" s="96"/>
      <c r="BR153" s="11"/>
      <c r="BS153" s="11"/>
      <c r="BT153" s="11"/>
      <c r="BU153" s="11"/>
      <c r="BV153" s="11"/>
      <c r="BW153" s="96"/>
      <c r="BX153" s="11"/>
      <c r="BY153" s="11"/>
      <c r="BZ153" s="11"/>
      <c r="CA153" s="11"/>
      <c r="CB153" s="11"/>
      <c r="CC153" s="11"/>
      <c r="CD153" s="11"/>
      <c r="CE153" s="11"/>
      <c r="CF153" s="11"/>
      <c r="CG153" s="96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20"/>
      <c r="CV153" s="11"/>
      <c r="CW153" s="20"/>
      <c r="CX153" s="96"/>
      <c r="CY153" s="96"/>
      <c r="CZ153" s="11"/>
      <c r="DA153" s="26">
        <f t="shared" si="45"/>
        <v>47.549567179289127</v>
      </c>
      <c r="DB153" s="53" t="str">
        <f t="shared" si="46"/>
        <v>Zimmerman, Christine</v>
      </c>
      <c r="DC153" s="68">
        <f t="shared" si="47"/>
        <v>1</v>
      </c>
      <c r="DD153" s="62">
        <v>0</v>
      </c>
      <c r="DE153" s="209">
        <f t="shared" si="48"/>
        <v>46.722577556538397</v>
      </c>
      <c r="DF153" s="115">
        <f t="shared" si="54"/>
        <v>0</v>
      </c>
      <c r="DG153" s="4">
        <f t="shared" si="49"/>
        <v>0</v>
      </c>
      <c r="DH153" s="115">
        <f t="shared" si="50"/>
        <v>2</v>
      </c>
      <c r="DI153" s="115" t="str">
        <f t="shared" si="51"/>
        <v>CO</v>
      </c>
      <c r="DJ153" s="62">
        <f>IF(COUNT(I153:U153)&lt;5,DA153,SUMPRODUCT(LARGE(I153:U153,{1,2,3,4,5}))/5)</f>
        <v>47.549567179289127</v>
      </c>
      <c r="DK153" s="62">
        <f>IF(COUNT(I153:AN153)&lt;5,DA153,SUMPRODUCT(LARGE(I153:AN153,{1,2,3,4,5}))/5)</f>
        <v>47.549567179289127</v>
      </c>
      <c r="DL153" s="209">
        <f>IF(COUNT(J153:CZ153)&lt;5,AVERAGE(J153:CZ153),SUMPRODUCT(LARGE(J153:CZ153,{1,2,3,4,5}))/5)</f>
        <v>47.549567179289127</v>
      </c>
      <c r="DM153" s="62">
        <f t="shared" si="53"/>
        <v>46.722577556538397</v>
      </c>
      <c r="DN153" s="13" t="str">
        <f t="shared" si="52"/>
        <v>Zimmerman, Christine</v>
      </c>
      <c r="DO153" s="7">
        <v>83</v>
      </c>
      <c r="DP153" s="8"/>
      <c r="DQ153" s="9"/>
      <c r="DR153" s="9"/>
      <c r="DS153" s="121"/>
      <c r="DT153" s="128"/>
      <c r="DU153" s="128"/>
      <c r="DV153" s="128"/>
      <c r="DW153" s="13"/>
      <c r="DX153" s="13"/>
      <c r="DY153" s="13"/>
      <c r="DZ153" s="83"/>
      <c r="EA153" s="13"/>
      <c r="EB153" s="13"/>
      <c r="EC153" s="13"/>
      <c r="ED153" s="13"/>
      <c r="EE153" s="13"/>
      <c r="EF153" s="13"/>
      <c r="EG153" s="13"/>
      <c r="EI153" s="152"/>
    </row>
    <row r="154" spans="1:139" x14ac:dyDescent="0.2">
      <c r="A154" s="7">
        <v>151</v>
      </c>
      <c r="B154" s="199" t="s">
        <v>495</v>
      </c>
      <c r="C154" s="9" t="s">
        <v>5</v>
      </c>
      <c r="D154" s="9" t="s">
        <v>48</v>
      </c>
      <c r="E154" s="10">
        <v>0</v>
      </c>
      <c r="F154" s="82">
        <v>0</v>
      </c>
      <c r="G154" s="9">
        <f t="shared" si="44"/>
        <v>1</v>
      </c>
      <c r="H154" s="93">
        <v>0</v>
      </c>
      <c r="I154" s="11"/>
      <c r="J154" s="11"/>
      <c r="K154" s="96"/>
      <c r="L154" s="96"/>
      <c r="M154" s="96"/>
      <c r="N154" s="96"/>
      <c r="O154" s="96"/>
      <c r="P154" s="109"/>
      <c r="Q154" s="96"/>
      <c r="R154" s="96"/>
      <c r="S154" s="96"/>
      <c r="T154" s="109"/>
      <c r="U154" s="109"/>
      <c r="V154" s="96"/>
      <c r="W154" s="109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252"/>
      <c r="AO154" s="251"/>
      <c r="AP154" s="96"/>
      <c r="AQ154" s="96"/>
      <c r="AR154" s="96"/>
      <c r="AS154" s="96"/>
      <c r="AT154" s="96"/>
      <c r="AU154" s="96"/>
      <c r="AV154" s="96"/>
      <c r="AW154" s="109"/>
      <c r="AX154" s="96"/>
      <c r="AY154" s="96"/>
      <c r="AZ154" s="96"/>
      <c r="BA154" s="11"/>
      <c r="BB154" s="11"/>
      <c r="BC154" s="96"/>
      <c r="BD154" s="96"/>
      <c r="BE154" s="96"/>
      <c r="BF154" s="96"/>
      <c r="BG154" s="96"/>
      <c r="BH154" s="96"/>
      <c r="BI154" s="11">
        <f>(INDEX('Race 53'!$E$8:$E$200,(MATCH($B154,'Race 53'!$B$8:$B$200,0)),1))*100</f>
        <v>30.836373169058707</v>
      </c>
      <c r="BJ154" s="96"/>
      <c r="BK154" s="96"/>
      <c r="BL154" s="11"/>
      <c r="BM154" s="11"/>
      <c r="BN154" s="96"/>
      <c r="BO154" s="96"/>
      <c r="BP154" s="96"/>
      <c r="BQ154" s="96"/>
      <c r="BR154" s="96"/>
      <c r="BS154" s="11"/>
      <c r="BT154" s="11"/>
      <c r="BU154" s="11"/>
      <c r="BV154" s="11"/>
      <c r="BW154" s="96"/>
      <c r="BX154" s="11"/>
      <c r="BY154" s="11"/>
      <c r="BZ154" s="11"/>
      <c r="CA154" s="11"/>
      <c r="CB154" s="11"/>
      <c r="CC154" s="11"/>
      <c r="CD154" s="11"/>
      <c r="CE154" s="11"/>
      <c r="CF154" s="11"/>
      <c r="CG154" s="96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20"/>
      <c r="CV154" s="11"/>
      <c r="CW154" s="20"/>
      <c r="CX154" s="96"/>
      <c r="CY154" s="96"/>
      <c r="CZ154" s="11"/>
      <c r="DA154" s="26">
        <f t="shared" ref="DA154:DA162" si="55">IF(DC154&gt;0,AVERAGE(I154:CZ154),H154)</f>
        <v>30.836373169058707</v>
      </c>
      <c r="DB154" s="53" t="str">
        <f t="shared" ref="DB154:DB162" si="56">B154</f>
        <v>Hsieh, Allsion</v>
      </c>
      <c r="DC154" s="68">
        <f t="shared" ref="DC154:DC162" si="57">IF(G154&gt;0,1,0)</f>
        <v>1</v>
      </c>
      <c r="DD154" s="62">
        <v>0</v>
      </c>
      <c r="DE154" s="209">
        <f t="shared" ref="DE154:DE162" si="58">DM154</f>
        <v>30.300062070412409</v>
      </c>
      <c r="DF154" s="115">
        <f t="shared" ref="DF154:DF162" si="59">COUNT(I154:X154)</f>
        <v>0</v>
      </c>
      <c r="DG154" s="4">
        <f t="shared" ref="DG154:DG162" si="60">COUNT(I154:AT154)</f>
        <v>0</v>
      </c>
      <c r="DH154" s="115">
        <f t="shared" ref="DH154:DH162" si="61">COUNT(I154:CZ154)</f>
        <v>1</v>
      </c>
      <c r="DI154" s="115" t="str">
        <f t="shared" ref="DI154:DI162" si="62">D154</f>
        <v>CA</v>
      </c>
      <c r="DJ154" s="62">
        <f>IF(COUNT(I154:U154)&lt;5,DA154,SUMPRODUCT(LARGE(I154:U154,{1,2,3,4,5}))/5)</f>
        <v>30.836373169058707</v>
      </c>
      <c r="DK154" s="62">
        <f>IF(COUNT(I154:AN154)&lt;5,DA154,SUMPRODUCT(LARGE(I154:AN154,{1,2,3,4,5}))/5)</f>
        <v>30.836373169058707</v>
      </c>
      <c r="DL154" s="209">
        <f>IF(COUNT(J154:CZ154)&lt;5,AVERAGE(J154:CZ154),SUMPRODUCT(LARGE(J154:CZ154,{1,2,3,4,5}))/5)</f>
        <v>30.836373169058707</v>
      </c>
      <c r="DM154" s="62">
        <f t="shared" si="53"/>
        <v>30.300062070412409</v>
      </c>
      <c r="DN154" s="13" t="str">
        <f t="shared" ref="DN154:DN162" si="63">B154</f>
        <v>Hsieh, Allsion</v>
      </c>
      <c r="DO154" s="7">
        <v>84</v>
      </c>
      <c r="DP154" s="8"/>
      <c r="DQ154" s="9"/>
      <c r="DR154" s="9"/>
      <c r="DS154" s="121"/>
      <c r="DT154" s="128"/>
      <c r="DU154" s="128"/>
      <c r="DV154" s="128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I154" s="152"/>
    </row>
    <row r="155" spans="1:139" x14ac:dyDescent="0.2">
      <c r="A155" s="7">
        <v>152</v>
      </c>
      <c r="B155" s="258" t="s">
        <v>489</v>
      </c>
      <c r="C155" s="259" t="s">
        <v>5</v>
      </c>
      <c r="D155" s="259" t="s">
        <v>50</v>
      </c>
      <c r="E155" s="10">
        <v>0</v>
      </c>
      <c r="F155" s="82">
        <v>0</v>
      </c>
      <c r="G155" s="9">
        <f t="shared" si="44"/>
        <v>1</v>
      </c>
      <c r="H155" s="93">
        <v>0</v>
      </c>
      <c r="I155" s="24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110"/>
      <c r="AG155" s="96"/>
      <c r="AH155" s="96"/>
      <c r="AI155" s="96"/>
      <c r="AJ155" s="96"/>
      <c r="AK155" s="96"/>
      <c r="AL155" s="96"/>
      <c r="AM155" s="96"/>
      <c r="AN155" s="252"/>
      <c r="AO155" s="251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>
        <f>(INDEX('Race 53'!$E$8:$E$200,(MATCH($B155,'Race 53'!$B$8:$B$200,0)),1))*100</f>
        <v>41.090182629826124</v>
      </c>
      <c r="BJ155" s="96"/>
      <c r="BK155" s="96"/>
      <c r="BL155" s="11"/>
      <c r="BM155" s="11"/>
      <c r="BN155" s="96"/>
      <c r="BO155" s="96"/>
      <c r="BP155" s="96"/>
      <c r="BQ155" s="96"/>
      <c r="BR155" s="96"/>
      <c r="BS155" s="11"/>
      <c r="BT155" s="11"/>
      <c r="BU155" s="11"/>
      <c r="BV155" s="11"/>
      <c r="BW155" s="96"/>
      <c r="BX155" s="259"/>
      <c r="BY155" s="261"/>
      <c r="BZ155" s="261"/>
      <c r="CA155" s="259"/>
      <c r="CB155" s="259"/>
      <c r="CC155" s="259"/>
      <c r="CD155" s="259"/>
      <c r="CE155" s="261"/>
      <c r="CF155" s="261"/>
      <c r="CG155" s="261"/>
      <c r="CH155" s="261"/>
      <c r="CI155" s="291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112"/>
      <c r="CV155" s="112"/>
      <c r="CW155" s="112"/>
      <c r="CX155" s="96"/>
      <c r="CY155" s="96"/>
      <c r="CZ155" s="96"/>
      <c r="DA155" s="26">
        <f t="shared" si="55"/>
        <v>41.090182629826124</v>
      </c>
      <c r="DB155" s="53" t="str">
        <f t="shared" si="56"/>
        <v>Ospal, Connie</v>
      </c>
      <c r="DC155" s="68">
        <f t="shared" si="57"/>
        <v>1</v>
      </c>
      <c r="DD155" s="62">
        <v>0</v>
      </c>
      <c r="DE155" s="209">
        <f t="shared" si="58"/>
        <v>40.375535648841627</v>
      </c>
      <c r="DF155" s="115">
        <f t="shared" si="59"/>
        <v>0</v>
      </c>
      <c r="DG155" s="4">
        <f t="shared" si="60"/>
        <v>0</v>
      </c>
      <c r="DH155" s="115">
        <f t="shared" si="61"/>
        <v>1</v>
      </c>
      <c r="DI155" s="115" t="str">
        <f t="shared" si="62"/>
        <v>OR</v>
      </c>
      <c r="DJ155" s="62">
        <f>IF(COUNT(I155:U155)&lt;5,DA155,SUMPRODUCT(LARGE(I155:U155,{1,2,3,4,5}))/5)</f>
        <v>41.090182629826124</v>
      </c>
      <c r="DK155" s="62">
        <f>IF(COUNT(I155:AN155)&lt;5,DA155,SUMPRODUCT(LARGE(I155:AN155,{1,2,3,4,5}))/5)</f>
        <v>41.090182629826124</v>
      </c>
      <c r="DL155" s="209">
        <f>IF(COUNT(J155:CZ155)&lt;5,AVERAGE(J155:CZ155),SUMPRODUCT(LARGE(J155:CZ155,{1,2,3,4,5}))/5)</f>
        <v>41.090182629826124</v>
      </c>
      <c r="DM155" s="62">
        <f t="shared" si="53"/>
        <v>40.375535648841627</v>
      </c>
      <c r="DN155" s="13" t="str">
        <f t="shared" si="63"/>
        <v>Ospal, Connie</v>
      </c>
      <c r="DO155" s="7">
        <v>85</v>
      </c>
      <c r="DP155" s="8"/>
      <c r="DQ155" s="9"/>
      <c r="DR155" s="9"/>
      <c r="DS155" s="121"/>
      <c r="DT155" s="128"/>
      <c r="DU155" s="128"/>
      <c r="DV155" s="128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I155" s="152"/>
    </row>
    <row r="156" spans="1:139" x14ac:dyDescent="0.2">
      <c r="A156" s="7">
        <v>153</v>
      </c>
      <c r="B156" s="16" t="s">
        <v>500</v>
      </c>
      <c r="C156" s="9" t="s">
        <v>5</v>
      </c>
      <c r="D156" s="9" t="s">
        <v>36</v>
      </c>
      <c r="E156" s="10">
        <v>0</v>
      </c>
      <c r="F156" s="82">
        <v>0</v>
      </c>
      <c r="G156" s="9">
        <f t="shared" ref="G156" si="64">COUNT(I156:CZ156)</f>
        <v>1</v>
      </c>
      <c r="H156" s="93">
        <v>0</v>
      </c>
      <c r="I156" s="46"/>
      <c r="J156" s="11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110"/>
      <c r="AG156" s="96"/>
      <c r="AH156" s="96"/>
      <c r="AI156" s="96"/>
      <c r="AJ156" s="96"/>
      <c r="AK156" s="96"/>
      <c r="AL156" s="96"/>
      <c r="AM156" s="96"/>
      <c r="AN156" s="252"/>
      <c r="AO156" s="251"/>
      <c r="AP156" s="96"/>
      <c r="AQ156" s="96"/>
      <c r="AR156" s="96"/>
      <c r="AS156" s="96"/>
      <c r="AT156" s="96"/>
      <c r="AU156" s="96"/>
      <c r="AV156" s="96"/>
      <c r="AW156" s="96"/>
      <c r="AX156" s="11"/>
      <c r="AY156" s="96"/>
      <c r="AZ156" s="96"/>
      <c r="BA156" s="11"/>
      <c r="BB156" s="11"/>
      <c r="BC156" s="96"/>
      <c r="BD156" s="11"/>
      <c r="BE156" s="96"/>
      <c r="BF156" s="11"/>
      <c r="BG156" s="96"/>
      <c r="BH156" s="96"/>
      <c r="BI156" s="96"/>
      <c r="BJ156" s="96"/>
      <c r="BK156" s="96"/>
      <c r="BL156" s="11"/>
      <c r="BM156" s="11">
        <f>(INDEX('Race 57'!$E$8:$E$200,(MATCH($B156,'Race 57'!$B$8:$B$200,0)),1))*100</f>
        <v>41.887156658249175</v>
      </c>
      <c r="BN156" s="96"/>
      <c r="BO156" s="96"/>
      <c r="BP156" s="96"/>
      <c r="BQ156" s="96"/>
      <c r="BR156" s="11"/>
      <c r="BS156" s="11"/>
      <c r="BT156" s="11"/>
      <c r="BU156" s="11"/>
      <c r="BV156" s="11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26">
        <f t="shared" si="55"/>
        <v>41.887156658249175</v>
      </c>
      <c r="DB156" s="53" t="str">
        <f t="shared" si="56"/>
        <v>HOWE, Molly</v>
      </c>
      <c r="DC156" s="68">
        <f t="shared" si="57"/>
        <v>1</v>
      </c>
      <c r="DD156" s="62">
        <v>0</v>
      </c>
      <c r="DE156" s="209">
        <f t="shared" si="58"/>
        <v>41.158648578411302</v>
      </c>
      <c r="DF156" s="115">
        <f t="shared" si="59"/>
        <v>0</v>
      </c>
      <c r="DG156" s="4">
        <f t="shared" si="60"/>
        <v>0</v>
      </c>
      <c r="DH156" s="115">
        <f t="shared" si="61"/>
        <v>1</v>
      </c>
      <c r="DI156" s="115" t="str">
        <f t="shared" si="62"/>
        <v>WA</v>
      </c>
      <c r="DJ156" s="62">
        <f>IF(COUNT(I156:U156)&lt;5,DA156,SUMPRODUCT(LARGE(I156:U156,{1,2,3,4,5}))/5)</f>
        <v>41.887156658249175</v>
      </c>
      <c r="DK156" s="62">
        <f>IF(COUNT(I156:AN156)&lt;5,DA156,SUMPRODUCT(LARGE(I156:AN156,{1,2,3,4,5}))/5)</f>
        <v>41.887156658249175</v>
      </c>
      <c r="DL156" s="209">
        <f>IF(COUNT(J156:CZ156)&lt;5,AVERAGE(J156:CZ156),SUMPRODUCT(LARGE(J156:CZ156,{1,2,3,4,5}))/5)</f>
        <v>41.887156658249175</v>
      </c>
      <c r="DM156" s="62">
        <f t="shared" si="53"/>
        <v>41.158648578411302</v>
      </c>
      <c r="DN156" s="13" t="str">
        <f t="shared" si="63"/>
        <v>HOWE, Molly</v>
      </c>
      <c r="DO156" s="7">
        <v>86</v>
      </c>
      <c r="DP156" s="8"/>
      <c r="DQ156" s="9"/>
      <c r="DR156" s="9"/>
      <c r="DS156" s="121"/>
      <c r="DT156" s="128"/>
      <c r="DU156" s="128"/>
      <c r="DV156" s="128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I156" s="152"/>
    </row>
    <row r="157" spans="1:139" x14ac:dyDescent="0.2">
      <c r="A157" s="7">
        <v>154</v>
      </c>
      <c r="B157" s="199" t="s">
        <v>501</v>
      </c>
      <c r="C157" s="9" t="s">
        <v>5</v>
      </c>
      <c r="D157" s="9" t="s">
        <v>36</v>
      </c>
      <c r="E157" s="10">
        <v>0</v>
      </c>
      <c r="F157" s="82">
        <v>0</v>
      </c>
      <c r="G157" s="9">
        <f t="shared" ref="G157:G159" si="65">COUNT(I157:CZ157)</f>
        <v>1</v>
      </c>
      <c r="H157" s="93">
        <v>0</v>
      </c>
      <c r="I157" s="46"/>
      <c r="J157" s="11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110"/>
      <c r="AG157" s="96"/>
      <c r="AH157" s="96"/>
      <c r="AI157" s="96"/>
      <c r="AJ157" s="96"/>
      <c r="AK157" s="96"/>
      <c r="AL157" s="96"/>
      <c r="AM157" s="96"/>
      <c r="AN157" s="252"/>
      <c r="AO157" s="251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11">
        <f>(INDEX('Race 56'!$E$8:$E$200,(MATCH($B157,'Race 56'!$B$8:$B$200,0)),1))*100</f>
        <v>38.098681051698144</v>
      </c>
      <c r="BM157" s="11"/>
      <c r="BN157" s="96"/>
      <c r="BO157" s="96"/>
      <c r="BP157" s="96"/>
      <c r="BQ157" s="96"/>
      <c r="BR157" s="96"/>
      <c r="BS157" s="11"/>
      <c r="BT157" s="11"/>
      <c r="BU157" s="11"/>
      <c r="BV157" s="11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26">
        <f t="shared" si="55"/>
        <v>38.098681051698144</v>
      </c>
      <c r="DB157" s="53" t="str">
        <f t="shared" si="56"/>
        <v>BARRY, Jessica</v>
      </c>
      <c r="DC157" s="68">
        <f t="shared" si="57"/>
        <v>1</v>
      </c>
      <c r="DD157" s="62">
        <v>0</v>
      </c>
      <c r="DE157" s="209">
        <f t="shared" si="58"/>
        <v>37.436062741179271</v>
      </c>
      <c r="DF157" s="115">
        <f t="shared" si="59"/>
        <v>0</v>
      </c>
      <c r="DG157" s="4">
        <f t="shared" si="60"/>
        <v>0</v>
      </c>
      <c r="DH157" s="115">
        <f t="shared" si="61"/>
        <v>1</v>
      </c>
      <c r="DI157" s="115" t="str">
        <f t="shared" si="62"/>
        <v>WA</v>
      </c>
      <c r="DJ157" s="62">
        <f>IF(COUNT(I157:U157)&lt;5,DA157,SUMPRODUCT(LARGE(I157:U157,{1,2,3,4,5}))/5)</f>
        <v>38.098681051698144</v>
      </c>
      <c r="DK157" s="62">
        <f>IF(COUNT(I157:AN157)&lt;5,DA157,SUMPRODUCT(LARGE(I157:AN157,{1,2,3,4,5}))/5)</f>
        <v>38.098681051698144</v>
      </c>
      <c r="DL157" s="209">
        <f>IF(COUNT(J157:CZ157)&lt;5,AVERAGE(J157:CZ157),SUMPRODUCT(LARGE(J157:CZ157,{1,2,3,4,5}))/5)</f>
        <v>38.098681051698144</v>
      </c>
      <c r="DM157" s="62">
        <f t="shared" si="53"/>
        <v>37.436062741179271</v>
      </c>
      <c r="DN157" s="13" t="str">
        <f t="shared" si="63"/>
        <v>BARRY, Jessica</v>
      </c>
      <c r="DO157" s="7">
        <v>87</v>
      </c>
      <c r="DP157" s="8"/>
      <c r="DQ157" s="9"/>
      <c r="DR157" s="9"/>
      <c r="DS157" s="121"/>
      <c r="DT157" s="128"/>
      <c r="DU157" s="128"/>
      <c r="DV157" s="128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I157" s="152"/>
    </row>
    <row r="158" spans="1:139" x14ac:dyDescent="0.2">
      <c r="A158" s="7">
        <v>155</v>
      </c>
      <c r="B158" s="258" t="s">
        <v>502</v>
      </c>
      <c r="C158" s="9" t="s">
        <v>5</v>
      </c>
      <c r="D158" s="9" t="s">
        <v>36</v>
      </c>
      <c r="E158" s="10">
        <v>0</v>
      </c>
      <c r="F158" s="82">
        <v>0</v>
      </c>
      <c r="G158" s="9">
        <f t="shared" si="65"/>
        <v>1</v>
      </c>
      <c r="H158" s="93">
        <v>0</v>
      </c>
      <c r="I158" s="24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110"/>
      <c r="AG158" s="96"/>
      <c r="AH158" s="96"/>
      <c r="AI158" s="96"/>
      <c r="AJ158" s="96"/>
      <c r="AK158" s="96"/>
      <c r="AL158" s="96"/>
      <c r="AM158" s="96"/>
      <c r="AN158" s="252"/>
      <c r="AO158" s="251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11">
        <f>(INDEX('Race 56'!$E$8:$E$200,(MATCH($B158,'Race 56'!$B$8:$B$200,0)),1))*100</f>
        <v>37.416079682855219</v>
      </c>
      <c r="BM158" s="11"/>
      <c r="BN158" s="96"/>
      <c r="BO158" s="96"/>
      <c r="BP158" s="96"/>
      <c r="BQ158" s="96"/>
      <c r="BR158" s="96"/>
      <c r="BS158" s="11"/>
      <c r="BT158" s="11"/>
      <c r="BU158" s="11"/>
      <c r="BV158" s="11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26">
        <f t="shared" si="55"/>
        <v>37.416079682855219</v>
      </c>
      <c r="DB158" s="53" t="str">
        <f t="shared" si="56"/>
        <v>NAKATSU, Larissa</v>
      </c>
      <c r="DC158" s="68">
        <f t="shared" si="57"/>
        <v>1</v>
      </c>
      <c r="DD158" s="62">
        <v>0</v>
      </c>
      <c r="DE158" s="209">
        <f t="shared" si="58"/>
        <v>36.765333283733142</v>
      </c>
      <c r="DF158" s="115">
        <f t="shared" si="59"/>
        <v>0</v>
      </c>
      <c r="DG158" s="4">
        <f t="shared" si="60"/>
        <v>0</v>
      </c>
      <c r="DH158" s="115">
        <f t="shared" si="61"/>
        <v>1</v>
      </c>
      <c r="DI158" s="115" t="str">
        <f t="shared" si="62"/>
        <v>WA</v>
      </c>
      <c r="DJ158" s="62">
        <f>IF(COUNT(I158:U158)&lt;5,DA158,SUMPRODUCT(LARGE(I158:U158,{1,2,3,4,5}))/5)</f>
        <v>37.416079682855219</v>
      </c>
      <c r="DK158" s="62">
        <f>IF(COUNT(I158:AN158)&lt;5,DA158,SUMPRODUCT(LARGE(I158:AN158,{1,2,3,4,5}))/5)</f>
        <v>37.416079682855219</v>
      </c>
      <c r="DL158" s="209">
        <f>IF(COUNT(J158:CZ158)&lt;5,AVERAGE(J158:CZ158),SUMPRODUCT(LARGE(J158:CZ158,{1,2,3,4,5}))/5)</f>
        <v>37.416079682855219</v>
      </c>
      <c r="DM158" s="62">
        <f t="shared" si="53"/>
        <v>36.765333283733142</v>
      </c>
      <c r="DN158" s="13" t="str">
        <f t="shared" si="63"/>
        <v>NAKATSU, Larissa</v>
      </c>
      <c r="DO158" s="7">
        <v>88</v>
      </c>
      <c r="DP158" s="8"/>
      <c r="DQ158" s="9"/>
      <c r="DR158" s="9"/>
      <c r="DS158" s="121"/>
      <c r="DT158" s="128"/>
      <c r="DU158" s="128"/>
      <c r="DV158" s="128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I158" s="152"/>
    </row>
    <row r="159" spans="1:139" x14ac:dyDescent="0.2">
      <c r="A159" s="7">
        <v>156</v>
      </c>
      <c r="B159" s="16" t="s">
        <v>503</v>
      </c>
      <c r="C159" s="9" t="s">
        <v>5</v>
      </c>
      <c r="D159" s="9" t="s">
        <v>36</v>
      </c>
      <c r="E159" s="10">
        <v>0</v>
      </c>
      <c r="F159" s="82">
        <v>0</v>
      </c>
      <c r="G159" s="9">
        <f t="shared" si="65"/>
        <v>1</v>
      </c>
      <c r="H159" s="93">
        <v>0</v>
      </c>
      <c r="I159" s="46"/>
      <c r="J159" s="11"/>
      <c r="K159" s="11"/>
      <c r="L159" s="11"/>
      <c r="M159" s="11"/>
      <c r="N159" s="11"/>
      <c r="O159" s="11"/>
      <c r="P159" s="11"/>
      <c r="Q159" s="11"/>
      <c r="R159" s="11"/>
      <c r="S159" s="96"/>
      <c r="T159" s="11"/>
      <c r="U159" s="11"/>
      <c r="V159" s="11"/>
      <c r="W159" s="11"/>
      <c r="X159" s="96"/>
      <c r="Y159" s="11"/>
      <c r="Z159" s="11"/>
      <c r="AA159" s="96"/>
      <c r="AB159" s="11"/>
      <c r="AC159" s="11"/>
      <c r="AD159" s="96"/>
      <c r="AE159" s="11"/>
      <c r="AF159" s="79"/>
      <c r="AG159" s="11"/>
      <c r="AH159" s="11"/>
      <c r="AI159" s="11"/>
      <c r="AJ159" s="11"/>
      <c r="AK159" s="11"/>
      <c r="AL159" s="11"/>
      <c r="AM159" s="11"/>
      <c r="AN159" s="250"/>
      <c r="AO159" s="251"/>
      <c r="AP159" s="11"/>
      <c r="AQ159" s="96"/>
      <c r="AR159" s="11"/>
      <c r="AS159" s="11"/>
      <c r="AT159" s="11"/>
      <c r="AU159" s="11"/>
      <c r="AV159" s="11"/>
      <c r="AW159" s="11"/>
      <c r="AX159" s="11"/>
      <c r="AY159" s="96"/>
      <c r="AZ159" s="96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>
        <f>(INDEX('Race 56'!$E$8:$E$200,(MATCH($B159,'Race 56'!$B$8:$B$200,0)),1))*100</f>
        <v>26.75762551813246</v>
      </c>
      <c r="BM159" s="11"/>
      <c r="BN159" s="11"/>
      <c r="BO159" s="96"/>
      <c r="BP159" s="11"/>
      <c r="BQ159" s="11"/>
      <c r="BR159" s="11"/>
      <c r="BS159" s="11"/>
      <c r="BT159" s="11"/>
      <c r="BU159" s="11"/>
      <c r="BV159" s="11"/>
      <c r="BW159" s="96"/>
      <c r="BX159" s="11"/>
      <c r="BY159" s="11"/>
      <c r="BZ159" s="11"/>
      <c r="CA159" s="11"/>
      <c r="CB159" s="11"/>
      <c r="CC159" s="11"/>
      <c r="CD159" s="11"/>
      <c r="CE159" s="11"/>
      <c r="CF159" s="11"/>
      <c r="CG159" s="96"/>
      <c r="CH159" s="11"/>
      <c r="CI159" s="11"/>
      <c r="CJ159" s="96"/>
      <c r="CK159" s="96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26">
        <f t="shared" si="55"/>
        <v>26.75762551813246</v>
      </c>
      <c r="DB159" s="53" t="str">
        <f t="shared" si="56"/>
        <v>ELLEFSON, Kristi</v>
      </c>
      <c r="DC159" s="68">
        <f t="shared" si="57"/>
        <v>1</v>
      </c>
      <c r="DD159" s="62">
        <v>0</v>
      </c>
      <c r="DE159" s="209">
        <f t="shared" si="58"/>
        <v>26.292252646293072</v>
      </c>
      <c r="DF159" s="115">
        <f t="shared" si="59"/>
        <v>0</v>
      </c>
      <c r="DG159" s="4">
        <f t="shared" si="60"/>
        <v>0</v>
      </c>
      <c r="DH159" s="115">
        <f t="shared" si="61"/>
        <v>1</v>
      </c>
      <c r="DI159" s="115" t="str">
        <f t="shared" si="62"/>
        <v>WA</v>
      </c>
      <c r="DJ159" s="62">
        <f>IF(COUNT(I159:U159)&lt;5,DA159,SUMPRODUCT(LARGE(I159:U159,{1,2,3,4,5}))/5)</f>
        <v>26.75762551813246</v>
      </c>
      <c r="DK159" s="62">
        <f>IF(COUNT(I159:AN159)&lt;5,DA159,SUMPRODUCT(LARGE(I159:AN159,{1,2,3,4,5}))/5)</f>
        <v>26.75762551813246</v>
      </c>
      <c r="DL159" s="209">
        <f>IF(COUNT(J159:CZ159)&lt;5,AVERAGE(J159:CZ159),SUMPRODUCT(LARGE(J159:CZ159,{1,2,3,4,5}))/5)</f>
        <v>26.75762551813246</v>
      </c>
      <c r="DM159" s="62">
        <f t="shared" si="53"/>
        <v>26.292252646293072</v>
      </c>
      <c r="DN159" s="13" t="str">
        <f t="shared" si="63"/>
        <v>ELLEFSON, Kristi</v>
      </c>
      <c r="DO159" s="7">
        <v>89</v>
      </c>
      <c r="DP159" s="8"/>
      <c r="DQ159" s="9"/>
      <c r="DR159" s="9"/>
      <c r="DS159" s="121"/>
      <c r="DT159" s="128"/>
      <c r="DU159" s="128"/>
      <c r="DV159" s="128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I159" s="152"/>
    </row>
    <row r="160" spans="1:139" x14ac:dyDescent="0.2">
      <c r="A160" s="7">
        <v>157</v>
      </c>
      <c r="B160" s="16" t="s">
        <v>509</v>
      </c>
      <c r="C160" s="9" t="s">
        <v>5</v>
      </c>
      <c r="D160" s="9" t="s">
        <v>41</v>
      </c>
      <c r="E160" s="10">
        <v>0</v>
      </c>
      <c r="F160" s="82">
        <v>0</v>
      </c>
      <c r="G160" s="9">
        <f t="shared" ref="G160:G161" si="66">COUNT(I160:CZ160)</f>
        <v>3</v>
      </c>
      <c r="H160" s="93">
        <v>0</v>
      </c>
      <c r="I160" s="46"/>
      <c r="J160" s="11"/>
      <c r="K160" s="11"/>
      <c r="L160" s="11"/>
      <c r="M160" s="11"/>
      <c r="N160" s="11"/>
      <c r="O160" s="11"/>
      <c r="P160" s="11"/>
      <c r="Q160" s="11"/>
      <c r="R160" s="11"/>
      <c r="S160" s="96"/>
      <c r="T160" s="11"/>
      <c r="U160" s="11"/>
      <c r="V160" s="11"/>
      <c r="W160" s="11"/>
      <c r="X160" s="96"/>
      <c r="Y160" s="11"/>
      <c r="Z160" s="11"/>
      <c r="AA160" s="96"/>
      <c r="AB160" s="11"/>
      <c r="AC160" s="11"/>
      <c r="AD160" s="96"/>
      <c r="AE160" s="11"/>
      <c r="AF160" s="79"/>
      <c r="AG160" s="11"/>
      <c r="AH160" s="11"/>
      <c r="AI160" s="11"/>
      <c r="AJ160" s="11"/>
      <c r="AK160" s="11"/>
      <c r="AL160" s="11"/>
      <c r="AM160" s="11"/>
      <c r="AN160" s="250"/>
      <c r="AO160" s="251"/>
      <c r="AP160" s="11"/>
      <c r="AQ160" s="96"/>
      <c r="AR160" s="11"/>
      <c r="AS160" s="11"/>
      <c r="AT160" s="11"/>
      <c r="AU160" s="11"/>
      <c r="AV160" s="11"/>
      <c r="AW160" s="11"/>
      <c r="AX160" s="11"/>
      <c r="AY160" s="96"/>
      <c r="AZ160" s="96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96">
        <f>(INDEX('Race 59'!$E$8:$E$200,(MATCH($B160,'Race 59'!$B$8:$B$200,0)),1))*100</f>
        <v>81.084568360259283</v>
      </c>
      <c r="BP160" s="11"/>
      <c r="BQ160" s="11">
        <f>(INDEX('Race 61'!$E$8:$E$200,(MATCH($B160,'Race 61'!$B$8:$B$200,0)),1))*100</f>
        <v>72.769384556593693</v>
      </c>
      <c r="BR160" s="11"/>
      <c r="BS160" s="11"/>
      <c r="BT160" s="11"/>
      <c r="BU160" s="11"/>
      <c r="BV160" s="11"/>
      <c r="BW160" s="96">
        <f>(INDEX('Race 67'!$E$8:$E$200,(MATCH($B160,'Race 67'!$B$8:$B$200,0)),1))*100</f>
        <v>77.751162777950952</v>
      </c>
      <c r="BX160" s="259"/>
      <c r="BY160" s="261"/>
      <c r="BZ160" s="11"/>
      <c r="CA160" s="11"/>
      <c r="CB160" s="11"/>
      <c r="CC160" s="11"/>
      <c r="CD160" s="11"/>
      <c r="CE160" s="11"/>
      <c r="CF160" s="11"/>
      <c r="CG160" s="96"/>
      <c r="CH160" s="11"/>
      <c r="CI160" s="11"/>
      <c r="CJ160" s="96"/>
      <c r="CK160" s="96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26">
        <f t="shared" si="55"/>
        <v>77.201705231601309</v>
      </c>
      <c r="DB160" s="53" t="str">
        <f t="shared" si="56"/>
        <v>Maier, Mikayla</v>
      </c>
      <c r="DC160" s="68">
        <f t="shared" si="57"/>
        <v>1</v>
      </c>
      <c r="DD160" s="62">
        <v>0</v>
      </c>
      <c r="DE160" s="209">
        <f t="shared" si="58"/>
        <v>75.859000915398752</v>
      </c>
      <c r="DF160" s="115">
        <f t="shared" si="59"/>
        <v>0</v>
      </c>
      <c r="DG160" s="4">
        <f t="shared" si="60"/>
        <v>0</v>
      </c>
      <c r="DH160" s="115">
        <f t="shared" si="61"/>
        <v>3</v>
      </c>
      <c r="DI160" s="115" t="str">
        <f t="shared" si="62"/>
        <v>MT</v>
      </c>
      <c r="DJ160" s="62">
        <f>IF(COUNT(I160:U160)&lt;5,DA160,SUMPRODUCT(LARGE(I160:U160,{1,2,3,4,5}))/5)</f>
        <v>77.201705231601309</v>
      </c>
      <c r="DK160" s="62">
        <f>IF(COUNT(I160:AN160)&lt;5,DA160,SUMPRODUCT(LARGE(I160:AN160,{1,2,3,4,5}))/5)</f>
        <v>77.201705231601309</v>
      </c>
      <c r="DL160" s="209">
        <f>IF(COUNT(J160:CZ160)&lt;5,AVERAGE(J160:CZ160),SUMPRODUCT(LARGE(J160:CZ160,{1,2,3,4,5}))/5)</f>
        <v>77.201705231601309</v>
      </c>
      <c r="DM160" s="62">
        <f t="shared" si="53"/>
        <v>75.859000915398752</v>
      </c>
      <c r="DN160" s="13" t="str">
        <f t="shared" si="63"/>
        <v>Maier, Mikayla</v>
      </c>
      <c r="DO160" s="7">
        <v>90</v>
      </c>
      <c r="DP160" s="8"/>
      <c r="DQ160" s="9"/>
      <c r="DR160" s="9"/>
      <c r="DS160" s="121"/>
      <c r="DT160" s="128"/>
      <c r="DU160" s="128"/>
      <c r="DV160" s="128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I160" s="152"/>
    </row>
    <row r="161" spans="1:139" s="265" customFormat="1" x14ac:dyDescent="0.2">
      <c r="A161" s="7">
        <v>158</v>
      </c>
      <c r="B161" s="119" t="s">
        <v>510</v>
      </c>
      <c r="C161" s="9" t="s">
        <v>5</v>
      </c>
      <c r="D161" s="9" t="s">
        <v>41</v>
      </c>
      <c r="E161" s="10">
        <v>0</v>
      </c>
      <c r="F161" s="82">
        <v>0</v>
      </c>
      <c r="G161" s="9">
        <f t="shared" si="66"/>
        <v>2</v>
      </c>
      <c r="H161" s="93">
        <v>0</v>
      </c>
      <c r="I161" s="46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96"/>
      <c r="U161" s="11"/>
      <c r="V161" s="11"/>
      <c r="W161" s="11"/>
      <c r="X161" s="96"/>
      <c r="Y161" s="96"/>
      <c r="Z161" s="96"/>
      <c r="AA161" s="96"/>
      <c r="AB161" s="96"/>
      <c r="AC161" s="96"/>
      <c r="AD161" s="96"/>
      <c r="AE161" s="96"/>
      <c r="AF161" s="110"/>
      <c r="AG161" s="11"/>
      <c r="AH161" s="11"/>
      <c r="AI161" s="11"/>
      <c r="AJ161" s="11"/>
      <c r="AK161" s="11"/>
      <c r="AL161" s="11"/>
      <c r="AM161" s="11"/>
      <c r="AN161" s="250"/>
      <c r="AO161" s="25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96"/>
      <c r="BA161" s="11"/>
      <c r="BB161" s="96"/>
      <c r="BC161" s="96"/>
      <c r="BD161" s="11"/>
      <c r="BE161" s="96"/>
      <c r="BF161" s="11"/>
      <c r="BG161" s="11"/>
      <c r="BH161" s="11"/>
      <c r="BI161" s="11"/>
      <c r="BJ161" s="11"/>
      <c r="BK161" s="11"/>
      <c r="BL161" s="11"/>
      <c r="BM161" s="11"/>
      <c r="BN161" s="96"/>
      <c r="BO161" s="11">
        <f>(INDEX('Race 59'!$E$8:$E$200,(MATCH($B161,'Race 59'!$B$8:$B$200,0)),1))*100</f>
        <v>65.5201044384645</v>
      </c>
      <c r="BP161" s="11"/>
      <c r="BQ161" s="11">
        <f>(INDEX('Race 61'!$E$8:$E$200,(MATCH($B161,'Race 61'!$B$8:$B$200,0)),1))*100</f>
        <v>64.762036255944793</v>
      </c>
      <c r="BR161" s="11"/>
      <c r="BS161" s="11"/>
      <c r="BT161" s="11"/>
      <c r="BU161" s="11"/>
      <c r="BV161" s="11"/>
      <c r="BW161" s="96"/>
      <c r="BX161" s="11"/>
      <c r="BY161" s="11"/>
      <c r="BZ161" s="11"/>
      <c r="CA161" s="11"/>
      <c r="CB161" s="11"/>
      <c r="CC161" s="11"/>
      <c r="CD161" s="11"/>
      <c r="CE161" s="11"/>
      <c r="CF161" s="11"/>
      <c r="CG161" s="96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96"/>
      <c r="CY161" s="96"/>
      <c r="CZ161" s="11"/>
      <c r="DA161" s="26">
        <f t="shared" si="55"/>
        <v>65.141070347204646</v>
      </c>
      <c r="DB161" s="53" t="str">
        <f t="shared" si="56"/>
        <v>Maier, Megan</v>
      </c>
      <c r="DC161" s="68">
        <f t="shared" si="57"/>
        <v>1</v>
      </c>
      <c r="DD161" s="62">
        <v>0</v>
      </c>
      <c r="DE161" s="209">
        <f t="shared" si="58"/>
        <v>64.008126508012822</v>
      </c>
      <c r="DF161" s="115">
        <f t="shared" si="59"/>
        <v>0</v>
      </c>
      <c r="DG161" s="4">
        <f t="shared" si="60"/>
        <v>0</v>
      </c>
      <c r="DH161" s="115">
        <f t="shared" si="61"/>
        <v>2</v>
      </c>
      <c r="DI161" s="115" t="str">
        <f t="shared" si="62"/>
        <v>MT</v>
      </c>
      <c r="DJ161" s="62">
        <f>IF(COUNT(I161:U161)&lt;5,DA161,SUMPRODUCT(LARGE(I161:U161,{1,2,3,4,5}))/5)</f>
        <v>65.141070347204646</v>
      </c>
      <c r="DK161" s="62">
        <f>IF(COUNT(I161:AN161)&lt;5,DA161,SUMPRODUCT(LARGE(I161:AN161,{1,2,3,4,5}))/5)</f>
        <v>65.141070347204646</v>
      </c>
      <c r="DL161" s="209">
        <f>IF(COUNT(J161:CZ161)&lt;5,AVERAGE(J161:CZ161),SUMPRODUCT(LARGE(J161:CZ161,{1,2,3,4,5}))/5)</f>
        <v>65.141070347204646</v>
      </c>
      <c r="DM161" s="62">
        <f t="shared" si="53"/>
        <v>64.008126508012822</v>
      </c>
      <c r="DN161" s="13" t="str">
        <f t="shared" si="63"/>
        <v>Maier, Megan</v>
      </c>
      <c r="DO161" s="257">
        <v>91</v>
      </c>
      <c r="DP161" s="260"/>
      <c r="DQ161" s="259"/>
      <c r="DR161" s="259"/>
      <c r="DS161" s="121"/>
      <c r="DT161" s="128"/>
      <c r="DU161" s="128"/>
      <c r="DV161" s="128"/>
      <c r="EI161" s="266"/>
    </row>
    <row r="162" spans="1:139" s="265" customFormat="1" x14ac:dyDescent="0.2">
      <c r="A162" s="7">
        <v>159</v>
      </c>
      <c r="B162" s="16" t="s">
        <v>511</v>
      </c>
      <c r="C162" s="9" t="s">
        <v>6</v>
      </c>
      <c r="D162" s="9" t="s">
        <v>43</v>
      </c>
      <c r="E162" s="10">
        <v>0</v>
      </c>
      <c r="F162" s="82">
        <v>0</v>
      </c>
      <c r="G162" s="9">
        <f t="shared" ref="G162:G163" si="67">COUNT(I162:CZ162)</f>
        <v>1</v>
      </c>
      <c r="H162" s="93">
        <v>0</v>
      </c>
      <c r="I162" s="46"/>
      <c r="J162" s="11"/>
      <c r="K162" s="11"/>
      <c r="L162" s="11"/>
      <c r="M162" s="11"/>
      <c r="N162" s="11"/>
      <c r="O162" s="11"/>
      <c r="P162" s="11"/>
      <c r="Q162" s="11"/>
      <c r="R162" s="11"/>
      <c r="S162" s="96"/>
      <c r="T162" s="11"/>
      <c r="U162" s="11"/>
      <c r="V162" s="11"/>
      <c r="W162" s="11"/>
      <c r="X162" s="96"/>
      <c r="Y162" s="11"/>
      <c r="Z162" s="11"/>
      <c r="AA162" s="96"/>
      <c r="AB162" s="11"/>
      <c r="AC162" s="11"/>
      <c r="AD162" s="96"/>
      <c r="AE162" s="11"/>
      <c r="AF162" s="79"/>
      <c r="AG162" s="11"/>
      <c r="AH162" s="11"/>
      <c r="AI162" s="11"/>
      <c r="AJ162" s="11"/>
      <c r="AK162" s="11"/>
      <c r="AL162" s="11"/>
      <c r="AM162" s="11"/>
      <c r="AN162" s="250"/>
      <c r="AO162" s="251"/>
      <c r="AP162" s="11"/>
      <c r="AQ162" s="96"/>
      <c r="AR162" s="11"/>
      <c r="AS162" s="11"/>
      <c r="AT162" s="11"/>
      <c r="AU162" s="11"/>
      <c r="AV162" s="11"/>
      <c r="AW162" s="11"/>
      <c r="AX162" s="11"/>
      <c r="AY162" s="96"/>
      <c r="AZ162" s="96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>
        <f>(INDEX('Race 60'!$E$8:$E$200,(MATCH($B162,'Race 60'!$B$8:$B$200,0)),1))*100</f>
        <v>64.892211148436715</v>
      </c>
      <c r="BQ162" s="11"/>
      <c r="BR162" s="11"/>
      <c r="BS162" s="11"/>
      <c r="BT162" s="11"/>
      <c r="BU162" s="11"/>
      <c r="BV162" s="11"/>
      <c r="BW162" s="11"/>
      <c r="BX162" s="11"/>
      <c r="BY162" s="96"/>
      <c r="BZ162" s="11"/>
      <c r="CA162" s="11"/>
      <c r="CB162" s="11"/>
      <c r="CC162" s="11"/>
      <c r="CD162" s="11"/>
      <c r="CE162" s="11"/>
      <c r="CF162" s="11"/>
      <c r="CG162" s="96"/>
      <c r="CH162" s="96"/>
      <c r="CI162" s="11"/>
      <c r="CJ162" s="96"/>
      <c r="CK162" s="96"/>
      <c r="CL162" s="11"/>
      <c r="CM162" s="11"/>
      <c r="CN162" s="11"/>
      <c r="CO162" s="11"/>
      <c r="CP162" s="11"/>
      <c r="CQ162" s="11"/>
      <c r="CR162" s="11"/>
      <c r="CS162" s="11"/>
      <c r="CT162" s="11"/>
      <c r="CU162" s="20"/>
      <c r="CV162" s="20"/>
      <c r="CW162" s="20"/>
      <c r="CX162" s="11"/>
      <c r="CY162" s="11"/>
      <c r="CZ162" s="11"/>
      <c r="DA162" s="26">
        <f t="shared" si="55"/>
        <v>64.892211148436715</v>
      </c>
      <c r="DB162" s="53" t="str">
        <f t="shared" si="56"/>
        <v>Farra, Sina</v>
      </c>
      <c r="DC162" s="68">
        <f t="shared" si="57"/>
        <v>1</v>
      </c>
      <c r="DD162" s="62">
        <v>0</v>
      </c>
      <c r="DE162" s="209">
        <f t="shared" si="58"/>
        <v>63.763595507946071</v>
      </c>
      <c r="DF162" s="115">
        <f t="shared" si="59"/>
        <v>0</v>
      </c>
      <c r="DG162" s="4">
        <f t="shared" si="60"/>
        <v>0</v>
      </c>
      <c r="DH162" s="115">
        <f t="shared" si="61"/>
        <v>1</v>
      </c>
      <c r="DI162" s="115" t="str">
        <f t="shared" si="62"/>
        <v>UT</v>
      </c>
      <c r="DJ162" s="62">
        <f>IF(COUNT(I162:U162)&lt;5,DA162,SUMPRODUCT(LARGE(I162:U162,{1,2,3,4,5}))/5)</f>
        <v>64.892211148436715</v>
      </c>
      <c r="DK162" s="62">
        <f>IF(COUNT(I162:AN162)&lt;5,DA162,SUMPRODUCT(LARGE(I162:AN162,{1,2,3,4,5}))/5)</f>
        <v>64.892211148436715</v>
      </c>
      <c r="DL162" s="209">
        <f>IF(COUNT(J162:CZ162)&lt;5,AVERAGE(J162:CZ162),SUMPRODUCT(LARGE(J162:CZ162,{1,2,3,4,5}))/5)</f>
        <v>64.892211148436715</v>
      </c>
      <c r="DM162" s="62">
        <f t="shared" si="53"/>
        <v>63.763595507946071</v>
      </c>
      <c r="DN162" s="13" t="str">
        <f t="shared" si="63"/>
        <v>Farra, Sina</v>
      </c>
      <c r="DO162" s="257">
        <v>92</v>
      </c>
      <c r="DP162" s="260"/>
      <c r="DQ162" s="259"/>
      <c r="DR162" s="259"/>
      <c r="DS162" s="121"/>
      <c r="DT162" s="128"/>
      <c r="DU162" s="128"/>
      <c r="DV162" s="128"/>
      <c r="EI162" s="266"/>
    </row>
    <row r="163" spans="1:139" x14ac:dyDescent="0.2">
      <c r="A163" s="7">
        <v>160</v>
      </c>
      <c r="B163" s="119" t="s">
        <v>512</v>
      </c>
      <c r="C163" s="9" t="s">
        <v>6</v>
      </c>
      <c r="D163" s="9" t="s">
        <v>36</v>
      </c>
      <c r="E163" s="10">
        <v>0</v>
      </c>
      <c r="F163" s="82">
        <v>0</v>
      </c>
      <c r="G163" s="9">
        <f t="shared" si="67"/>
        <v>1</v>
      </c>
      <c r="H163" s="93">
        <v>0</v>
      </c>
      <c r="I163" s="46"/>
      <c r="J163" s="96"/>
      <c r="K163" s="96"/>
      <c r="L163" s="96"/>
      <c r="M163" s="11"/>
      <c r="N163" s="96"/>
      <c r="O163" s="11"/>
      <c r="P163" s="96"/>
      <c r="Q163" s="96"/>
      <c r="R163" s="11"/>
      <c r="S163" s="96"/>
      <c r="T163" s="96"/>
      <c r="U163" s="11"/>
      <c r="V163" s="96"/>
      <c r="W163" s="11"/>
      <c r="X163" s="96"/>
      <c r="Y163" s="96"/>
      <c r="Z163" s="96"/>
      <c r="AA163" s="96"/>
      <c r="AB163" s="96"/>
      <c r="AC163" s="96"/>
      <c r="AD163" s="96"/>
      <c r="AE163" s="11"/>
      <c r="AF163" s="79"/>
      <c r="AG163" s="11"/>
      <c r="AH163" s="96"/>
      <c r="AI163" s="11"/>
      <c r="AJ163" s="96"/>
      <c r="AK163" s="96"/>
      <c r="AL163" s="96"/>
      <c r="AM163" s="96"/>
      <c r="AN163" s="250"/>
      <c r="AO163" s="25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96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96"/>
      <c r="BO163" s="11"/>
      <c r="BP163" s="11">
        <f>(INDEX('Race 60'!$E$8:$E$200,(MATCH($B163,'Race 60'!$B$8:$B$200,0)),1))*100</f>
        <v>32.995323507115287</v>
      </c>
      <c r="BQ163" s="11"/>
      <c r="BR163" s="11"/>
      <c r="BS163" s="11"/>
      <c r="BT163" s="11"/>
      <c r="BU163" s="11"/>
      <c r="BV163" s="11"/>
      <c r="BW163" s="96"/>
      <c r="BX163" s="11"/>
      <c r="BY163" s="11"/>
      <c r="BZ163" s="11"/>
      <c r="CA163" s="11"/>
      <c r="CB163" s="11"/>
      <c r="CC163" s="11"/>
      <c r="CD163" s="11"/>
      <c r="CE163" s="11"/>
      <c r="CF163" s="11"/>
      <c r="CG163" s="96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96"/>
      <c r="CU163" s="11"/>
      <c r="CV163" s="96"/>
      <c r="CW163" s="11"/>
      <c r="CX163" s="96"/>
      <c r="CY163" s="96"/>
      <c r="CZ163" s="11"/>
      <c r="DA163" s="26">
        <f t="shared" ref="DA163:DA167" si="68">IF(DC163&gt;0,AVERAGE(I163:CZ163),H163)</f>
        <v>32.995323507115287</v>
      </c>
      <c r="DB163" s="53" t="str">
        <f t="shared" ref="DB163:DB167" si="69">B163</f>
        <v>Wineland, Emmalina</v>
      </c>
      <c r="DC163" s="68">
        <f t="shared" ref="DC163:DC167" si="70">IF(G163&gt;0,1,0)</f>
        <v>1</v>
      </c>
      <c r="DD163" s="62">
        <v>0</v>
      </c>
      <c r="DE163" s="209">
        <f t="shared" ref="DE163:DE167" si="71">DM163</f>
        <v>32.421463601371023</v>
      </c>
      <c r="DF163" s="115">
        <f t="shared" ref="DF163:DF167" si="72">COUNT(I163:X163)</f>
        <v>0</v>
      </c>
      <c r="DG163" s="4">
        <f t="shared" ref="DG163:DG167" si="73">COUNT(I163:AT163)</f>
        <v>0</v>
      </c>
      <c r="DH163" s="115">
        <f t="shared" ref="DH163:DH167" si="74">COUNT(I163:CZ163)</f>
        <v>1</v>
      </c>
      <c r="DI163" s="115" t="str">
        <f t="shared" ref="DI163:DI167" si="75">D163</f>
        <v>WA</v>
      </c>
      <c r="DJ163" s="62">
        <f>IF(COUNT(I163:U163)&lt;5,DA163,SUMPRODUCT(LARGE(I163:U163,{1,2,3,4,5}))/5)</f>
        <v>32.995323507115287</v>
      </c>
      <c r="DK163" s="62">
        <f>IF(COUNT(I163:AN163)&lt;5,DA163,SUMPRODUCT(LARGE(I163:AN163,{1,2,3,4,5}))/5)</f>
        <v>32.995323507115287</v>
      </c>
      <c r="DL163" s="209">
        <f>IF(COUNT(J163:CZ163)&lt;5,AVERAGE(J163:CZ163),SUMPRODUCT(LARGE(J163:CZ163,{1,2,3,4,5}))/5)</f>
        <v>32.995323507115287</v>
      </c>
      <c r="DM163" s="62">
        <f t="shared" si="53"/>
        <v>32.421463601371023</v>
      </c>
      <c r="DN163" s="13" t="str">
        <f t="shared" ref="DN163:DN167" si="76">B163</f>
        <v>Wineland, Emmalina</v>
      </c>
      <c r="DO163" s="7">
        <v>93</v>
      </c>
      <c r="DP163" s="8"/>
      <c r="DQ163" s="9"/>
      <c r="DR163" s="9"/>
      <c r="DS163" s="121"/>
      <c r="DT163" s="128"/>
      <c r="DU163" s="128"/>
      <c r="DV163" s="128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</row>
    <row r="164" spans="1:139" x14ac:dyDescent="0.2">
      <c r="A164" s="7">
        <v>161</v>
      </c>
      <c r="B164" s="8" t="s">
        <v>515</v>
      </c>
      <c r="C164" s="9" t="s">
        <v>6</v>
      </c>
      <c r="D164" s="9" t="s">
        <v>48</v>
      </c>
      <c r="E164" s="10">
        <v>0</v>
      </c>
      <c r="F164" s="82">
        <v>0</v>
      </c>
      <c r="G164" s="9">
        <f t="shared" ref="G164:G167" si="77">COUNT(I164:CZ164)</f>
        <v>2</v>
      </c>
      <c r="H164" s="93">
        <v>0</v>
      </c>
      <c r="I164" s="4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110"/>
      <c r="AG164" s="96"/>
      <c r="AH164" s="96"/>
      <c r="AI164" s="96"/>
      <c r="AJ164" s="96"/>
      <c r="AK164" s="96"/>
      <c r="AL164" s="96"/>
      <c r="AM164" s="96"/>
      <c r="AN164" s="252"/>
      <c r="AO164" s="251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11"/>
      <c r="BB164" s="11"/>
      <c r="BC164" s="96"/>
      <c r="BD164" s="96"/>
      <c r="BE164" s="96"/>
      <c r="BF164" s="96"/>
      <c r="BG164" s="96"/>
      <c r="BH164" s="96"/>
      <c r="BI164" s="96"/>
      <c r="BJ164" s="96"/>
      <c r="BK164" s="11"/>
      <c r="BL164" s="11"/>
      <c r="BM164" s="11"/>
      <c r="BN164" s="11"/>
      <c r="BO164" s="11"/>
      <c r="BP164" s="96"/>
      <c r="BQ164" s="96"/>
      <c r="BR164" s="96"/>
      <c r="BS164" s="11">
        <f>(INDEX('Race 63'!$E$8:$E$200,(MATCH($B164,'Race 63'!$B$8:$B$200,0)),1))*100</f>
        <v>64.800450898515322</v>
      </c>
      <c r="BT164" s="11">
        <f>(INDEX('Race 64'!$E$8:$E$200,(MATCH($B164,'Race 64'!$B$8:$B$200,0)),1))*100</f>
        <v>59.085124562843916</v>
      </c>
      <c r="BU164" s="11"/>
      <c r="BV164" s="11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109"/>
      <c r="CO164" s="109"/>
      <c r="CP164" s="96"/>
      <c r="CQ164" s="109"/>
      <c r="CR164" s="109"/>
      <c r="CS164" s="109"/>
      <c r="CT164" s="109"/>
      <c r="CU164" s="109"/>
      <c r="CV164" s="109"/>
      <c r="CW164" s="109"/>
      <c r="CX164" s="109"/>
      <c r="CY164" s="109"/>
      <c r="CZ164" s="96"/>
      <c r="DA164" s="26">
        <f t="shared" si="68"/>
        <v>61.942787730679619</v>
      </c>
      <c r="DB164" s="53" t="str">
        <f t="shared" si="69"/>
        <v>Syben, Camille</v>
      </c>
      <c r="DC164" s="68">
        <f t="shared" si="70"/>
        <v>1</v>
      </c>
      <c r="DD164" s="62">
        <v>0</v>
      </c>
      <c r="DE164" s="209">
        <f t="shared" si="71"/>
        <v>60.865468930607861</v>
      </c>
      <c r="DF164" s="115">
        <f t="shared" si="72"/>
        <v>0</v>
      </c>
      <c r="DG164" s="4">
        <f t="shared" si="73"/>
        <v>0</v>
      </c>
      <c r="DH164" s="115">
        <f t="shared" si="74"/>
        <v>2</v>
      </c>
      <c r="DI164" s="115" t="str">
        <f t="shared" si="75"/>
        <v>CA</v>
      </c>
      <c r="DJ164" s="62">
        <f>IF(COUNT(I164:U164)&lt;5,DA164,SUMPRODUCT(LARGE(I164:U164,{1,2,3,4,5}))/5)</f>
        <v>61.942787730679619</v>
      </c>
      <c r="DK164" s="62">
        <f>IF(COUNT(I164:AN164)&lt;5,DA164,SUMPRODUCT(LARGE(I164:AN164,{1,2,3,4,5}))/5)</f>
        <v>61.942787730679619</v>
      </c>
      <c r="DL164" s="209">
        <f>IF(COUNT(J164:CZ164)&lt;5,AVERAGE(J164:CZ164),SUMPRODUCT(LARGE(J164:CZ164,{1,2,3,4,5}))/5)</f>
        <v>61.942787730679619</v>
      </c>
      <c r="DM164" s="62">
        <f t="shared" si="53"/>
        <v>60.865468930607861</v>
      </c>
      <c r="DN164" s="13" t="str">
        <f t="shared" si="76"/>
        <v>Syben, Camille</v>
      </c>
      <c r="DO164" s="7">
        <v>94</v>
      </c>
      <c r="DP164" s="8"/>
      <c r="DQ164" s="9"/>
      <c r="DR164" s="9"/>
      <c r="DS164" s="121"/>
      <c r="DT164" s="128"/>
      <c r="DU164" s="128"/>
      <c r="DV164" s="128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</row>
    <row r="165" spans="1:139" x14ac:dyDescent="0.2">
      <c r="A165" s="7">
        <v>162</v>
      </c>
      <c r="B165" s="119" t="s">
        <v>516</v>
      </c>
      <c r="C165" s="9" t="s">
        <v>6</v>
      </c>
      <c r="D165" s="9" t="s">
        <v>48</v>
      </c>
      <c r="E165" s="10">
        <v>0</v>
      </c>
      <c r="F165" s="82">
        <v>0</v>
      </c>
      <c r="G165" s="9">
        <f t="shared" si="77"/>
        <v>2</v>
      </c>
      <c r="H165" s="93">
        <v>0</v>
      </c>
      <c r="I165" s="46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96"/>
      <c r="U165" s="11"/>
      <c r="V165" s="11"/>
      <c r="W165" s="11"/>
      <c r="X165" s="96"/>
      <c r="Y165" s="96"/>
      <c r="Z165" s="96"/>
      <c r="AA165" s="96"/>
      <c r="AB165" s="96"/>
      <c r="AC165" s="96"/>
      <c r="AD165" s="96"/>
      <c r="AE165" s="96"/>
      <c r="AF165" s="110"/>
      <c r="AG165" s="11"/>
      <c r="AH165" s="11"/>
      <c r="AI165" s="11"/>
      <c r="AJ165" s="11"/>
      <c r="AK165" s="11"/>
      <c r="AL165" s="11"/>
      <c r="AM165" s="11"/>
      <c r="AN165" s="250"/>
      <c r="AO165" s="25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96"/>
      <c r="BA165" s="11"/>
      <c r="BB165" s="11"/>
      <c r="BC165" s="96"/>
      <c r="BD165" s="11"/>
      <c r="BE165" s="96"/>
      <c r="BF165" s="11"/>
      <c r="BG165" s="11"/>
      <c r="BH165" s="11"/>
      <c r="BI165" s="11"/>
      <c r="BJ165" s="11"/>
      <c r="BK165" s="11"/>
      <c r="BL165" s="11"/>
      <c r="BM165" s="11"/>
      <c r="BN165" s="96"/>
      <c r="BO165" s="11"/>
      <c r="BP165" s="11"/>
      <c r="BQ165" s="11"/>
      <c r="BR165" s="11"/>
      <c r="BS165" s="11">
        <f>(INDEX('Race 63'!$E$8:$E$200,(MATCH($B165,'Race 63'!$B$8:$B$200,0)),1))*100</f>
        <v>63.478650656306826</v>
      </c>
      <c r="BT165" s="11">
        <f>(INDEX('Race 64'!$E$8:$E$200,(MATCH($B165,'Race 64'!$B$8:$B$200,0)),1))*100</f>
        <v>54.306239845613483</v>
      </c>
      <c r="BU165" s="11"/>
      <c r="BV165" s="11"/>
      <c r="BW165" s="96"/>
      <c r="BX165" s="11"/>
      <c r="BY165" s="11"/>
      <c r="BZ165" s="11"/>
      <c r="CA165" s="11"/>
      <c r="CB165" s="11"/>
      <c r="CC165" s="11"/>
      <c r="CD165" s="11"/>
      <c r="CE165" s="11"/>
      <c r="CF165" s="11"/>
      <c r="CG165" s="96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96"/>
      <c r="CY165" s="96"/>
      <c r="CZ165" s="11"/>
      <c r="DA165" s="26">
        <f t="shared" si="68"/>
        <v>58.892445250960151</v>
      </c>
      <c r="DB165" s="53" t="str">
        <f t="shared" si="69"/>
        <v>Swan, Samantha</v>
      </c>
      <c r="DC165" s="68">
        <f t="shared" si="70"/>
        <v>1</v>
      </c>
      <c r="DD165" s="62">
        <v>0</v>
      </c>
      <c r="DE165" s="209">
        <f t="shared" si="71"/>
        <v>57.868178491657815</v>
      </c>
      <c r="DF165" s="115">
        <f t="shared" si="72"/>
        <v>0</v>
      </c>
      <c r="DG165" s="4">
        <f t="shared" si="73"/>
        <v>0</v>
      </c>
      <c r="DH165" s="115">
        <f t="shared" si="74"/>
        <v>2</v>
      </c>
      <c r="DI165" s="115" t="str">
        <f t="shared" si="75"/>
        <v>CA</v>
      </c>
      <c r="DJ165" s="62">
        <f>IF(COUNT(I165:U165)&lt;5,DA165,SUMPRODUCT(LARGE(I165:U165,{1,2,3,4,5}))/5)</f>
        <v>58.892445250960151</v>
      </c>
      <c r="DK165" s="62">
        <f>IF(COUNT(I165:AN165)&lt;5,DA165,SUMPRODUCT(LARGE(I165:AN165,{1,2,3,4,5}))/5)</f>
        <v>58.892445250960151</v>
      </c>
      <c r="DL165" s="209">
        <f>IF(COUNT(J165:CZ165)&lt;5,AVERAGE(J165:CZ165),SUMPRODUCT(LARGE(J165:CZ165,{1,2,3,4,5}))/5)</f>
        <v>58.892445250960151</v>
      </c>
      <c r="DM165" s="62">
        <f t="shared" si="53"/>
        <v>57.868178491657815</v>
      </c>
      <c r="DN165" s="13" t="str">
        <f t="shared" si="76"/>
        <v>Swan, Samantha</v>
      </c>
      <c r="DO165" s="7">
        <v>95</v>
      </c>
      <c r="DP165" s="8"/>
      <c r="DQ165" s="9"/>
      <c r="DR165" s="9"/>
      <c r="DS165" s="121"/>
      <c r="DT165" s="128"/>
      <c r="DU165" s="128"/>
      <c r="DV165" s="128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</row>
    <row r="166" spans="1:139" x14ac:dyDescent="0.2">
      <c r="A166" s="7">
        <v>163</v>
      </c>
      <c r="B166" s="18" t="s">
        <v>324</v>
      </c>
      <c r="C166" s="19" t="s">
        <v>5</v>
      </c>
      <c r="D166" s="19" t="s">
        <v>48</v>
      </c>
      <c r="E166" s="10">
        <v>0</v>
      </c>
      <c r="F166" s="82">
        <v>0</v>
      </c>
      <c r="G166" s="9">
        <f t="shared" si="77"/>
        <v>4</v>
      </c>
      <c r="H166" s="93">
        <v>0</v>
      </c>
      <c r="I166" s="47"/>
      <c r="J166" s="20"/>
      <c r="K166" s="112"/>
      <c r="L166" s="112"/>
      <c r="M166" s="112"/>
      <c r="N166" s="112"/>
      <c r="O166" s="112"/>
      <c r="P166" s="112"/>
      <c r="Q166" s="112"/>
      <c r="R166" s="112"/>
      <c r="S166" s="96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3"/>
      <c r="AG166" s="112"/>
      <c r="AH166" s="112"/>
      <c r="AI166" s="112"/>
      <c r="AJ166" s="112"/>
      <c r="AK166" s="112"/>
      <c r="AL166" s="112"/>
      <c r="AM166" s="112"/>
      <c r="AN166" s="255"/>
      <c r="AO166" s="251"/>
      <c r="AP166" s="112"/>
      <c r="AQ166" s="96"/>
      <c r="AR166" s="112"/>
      <c r="AS166" s="112"/>
      <c r="AT166" s="112"/>
      <c r="AU166" s="112"/>
      <c r="AV166" s="112"/>
      <c r="AW166" s="112"/>
      <c r="AX166" s="112"/>
      <c r="AY166" s="96"/>
      <c r="AZ166" s="96"/>
      <c r="BA166" s="11"/>
      <c r="BB166" s="11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"/>
      <c r="BM166" s="11"/>
      <c r="BN166" s="20"/>
      <c r="BO166" s="11"/>
      <c r="BP166" s="112"/>
      <c r="BQ166" s="112"/>
      <c r="BR166" s="112"/>
      <c r="BS166" s="11">
        <f>(INDEX('Race 63'!$E$8:$E$200,(MATCH($B166,'Race 63'!$B$8:$B$200,0)),1))*100</f>
        <v>47.892680643429529</v>
      </c>
      <c r="BT166" s="11">
        <f>(INDEX('Race 64'!$E$8:$E$200,(MATCH($B166,'Race 64'!$B$8:$B$200,0)),1))*100</f>
        <v>42.04187784936974</v>
      </c>
      <c r="BU166" s="11">
        <f>(INDEX('Race 65'!$E$8:$E$200,(MATCH($B166,'Race 65'!$B$8:$B$200,0)),1))*100</f>
        <v>44.16052490906069</v>
      </c>
      <c r="BV166" s="11">
        <f>(INDEX('Race 66'!$E$8:$E$200,(MATCH($B166,'Race 66'!$B$8:$B$200,0)),1))*100</f>
        <v>45.400103829990471</v>
      </c>
      <c r="BW166" s="112"/>
      <c r="BX166" s="112"/>
      <c r="BY166" s="96"/>
      <c r="BZ166" s="112"/>
      <c r="CA166" s="112"/>
      <c r="CB166" s="112"/>
      <c r="CC166" s="112"/>
      <c r="CD166" s="96"/>
      <c r="CE166" s="96"/>
      <c r="CF166" s="96"/>
      <c r="CG166" s="96"/>
      <c r="CH166" s="112"/>
      <c r="CI166" s="112"/>
      <c r="CJ166" s="96"/>
      <c r="CK166" s="96"/>
      <c r="CL166" s="112"/>
      <c r="CM166" s="96"/>
      <c r="CN166" s="112"/>
      <c r="CO166" s="112"/>
      <c r="CP166" s="112"/>
      <c r="CQ166" s="112"/>
      <c r="CR166" s="112"/>
      <c r="CS166" s="112"/>
      <c r="CT166" s="112"/>
      <c r="CU166" s="112"/>
      <c r="CV166" s="112"/>
      <c r="CW166" s="112"/>
      <c r="CX166" s="112"/>
      <c r="CY166" s="112"/>
      <c r="CZ166" s="112"/>
      <c r="DA166" s="26">
        <f t="shared" si="68"/>
        <v>44.873796807962606</v>
      </c>
      <c r="DB166" s="53" t="str">
        <f t="shared" si="69"/>
        <v>Samoska, Lorene</v>
      </c>
      <c r="DC166" s="68">
        <f t="shared" si="70"/>
        <v>1</v>
      </c>
      <c r="DD166" s="62">
        <v>0</v>
      </c>
      <c r="DE166" s="209">
        <f t="shared" si="71"/>
        <v>44.093344608394034</v>
      </c>
      <c r="DF166" s="115">
        <f t="shared" si="72"/>
        <v>0</v>
      </c>
      <c r="DG166" s="4">
        <f t="shared" si="73"/>
        <v>0</v>
      </c>
      <c r="DH166" s="115">
        <f t="shared" si="74"/>
        <v>4</v>
      </c>
      <c r="DI166" s="115" t="str">
        <f t="shared" si="75"/>
        <v>CA</v>
      </c>
      <c r="DJ166" s="62">
        <f>IF(COUNT(I166:U166)&lt;5,DA166,SUMPRODUCT(LARGE(I166:U166,{1,2,3,4,5}))/5)</f>
        <v>44.873796807962606</v>
      </c>
      <c r="DK166" s="62">
        <f>IF(COUNT(I166:AN166)&lt;5,DA166,SUMPRODUCT(LARGE(I166:AN166,{1,2,3,4,5}))/5)</f>
        <v>44.873796807962606</v>
      </c>
      <c r="DL166" s="209">
        <f>IF(COUNT(J166:CZ166)&lt;5,AVERAGE(J166:CZ166),SUMPRODUCT(LARGE(J166:CZ166,{1,2,3,4,5}))/5)</f>
        <v>44.873796807962606</v>
      </c>
      <c r="DM166" s="62">
        <f t="shared" si="53"/>
        <v>44.093344608394034</v>
      </c>
      <c r="DN166" s="13" t="str">
        <f t="shared" si="76"/>
        <v>Samoska, Lorene</v>
      </c>
      <c r="DO166" s="7">
        <v>96</v>
      </c>
      <c r="DP166" s="8"/>
      <c r="DQ166" s="9"/>
      <c r="DR166" s="9"/>
      <c r="DS166" s="121"/>
      <c r="DT166" s="128"/>
      <c r="DU166" s="128"/>
      <c r="DV166" s="128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</row>
    <row r="167" spans="1:139" x14ac:dyDescent="0.2">
      <c r="A167" s="7">
        <v>164</v>
      </c>
      <c r="B167" s="18" t="s">
        <v>325</v>
      </c>
      <c r="C167" s="19" t="s">
        <v>5</v>
      </c>
      <c r="D167" s="19" t="s">
        <v>48</v>
      </c>
      <c r="E167" s="10">
        <v>0</v>
      </c>
      <c r="F167" s="82">
        <v>0</v>
      </c>
      <c r="G167" s="9">
        <f t="shared" si="77"/>
        <v>1</v>
      </c>
      <c r="H167" s="93">
        <v>0</v>
      </c>
      <c r="I167" s="47"/>
      <c r="J167" s="20"/>
      <c r="K167" s="112"/>
      <c r="L167" s="112"/>
      <c r="M167" s="112"/>
      <c r="N167" s="112"/>
      <c r="O167" s="112"/>
      <c r="P167" s="112"/>
      <c r="Q167" s="112"/>
      <c r="R167" s="112"/>
      <c r="S167" s="96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3"/>
      <c r="AG167" s="112"/>
      <c r="AH167" s="112"/>
      <c r="AI167" s="112"/>
      <c r="AJ167" s="112"/>
      <c r="AK167" s="112"/>
      <c r="AL167" s="112"/>
      <c r="AM167" s="112"/>
      <c r="AN167" s="255"/>
      <c r="AO167" s="251"/>
      <c r="AP167" s="112"/>
      <c r="AQ167" s="96"/>
      <c r="AR167" s="112"/>
      <c r="AS167" s="112"/>
      <c r="AT167" s="112"/>
      <c r="AU167" s="112"/>
      <c r="AV167" s="112"/>
      <c r="AW167" s="112"/>
      <c r="AX167" s="112"/>
      <c r="AY167" s="96"/>
      <c r="AZ167" s="112"/>
      <c r="BA167" s="11"/>
      <c r="BB167" s="11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"/>
      <c r="BM167" s="11"/>
      <c r="BN167" s="112"/>
      <c r="BO167" s="96"/>
      <c r="BP167" s="112"/>
      <c r="BQ167" s="112"/>
      <c r="BR167" s="112"/>
      <c r="BS167" s="11">
        <f>(INDEX('Race 63'!$E$8:$E$200,(MATCH($B167,'Race 63'!$B$8:$B$200,0)),1))*100</f>
        <v>47.729201466071899</v>
      </c>
      <c r="BT167" s="11"/>
      <c r="BU167" s="11"/>
      <c r="BV167" s="11"/>
      <c r="BW167" s="112"/>
      <c r="BX167" s="112"/>
      <c r="BY167" s="96"/>
      <c r="BZ167" s="112"/>
      <c r="CA167" s="112"/>
      <c r="CB167" s="112"/>
      <c r="CC167" s="112"/>
      <c r="CD167" s="112"/>
      <c r="CE167" s="112"/>
      <c r="CF167" s="112"/>
      <c r="CG167" s="96"/>
      <c r="CH167" s="112"/>
      <c r="CI167" s="112"/>
      <c r="CJ167" s="96"/>
      <c r="CK167" s="96"/>
      <c r="CL167" s="112"/>
      <c r="CM167" s="112"/>
      <c r="CN167" s="112"/>
      <c r="CO167" s="112"/>
      <c r="CP167" s="112"/>
      <c r="CQ167" s="112"/>
      <c r="CR167" s="112"/>
      <c r="CS167" s="112"/>
      <c r="CT167" s="112"/>
      <c r="CU167" s="112"/>
      <c r="CV167" s="112"/>
      <c r="CW167" s="112"/>
      <c r="CX167" s="112"/>
      <c r="CY167" s="112"/>
      <c r="CZ167" s="112"/>
      <c r="DA167" s="26">
        <f t="shared" si="68"/>
        <v>47.729201466071899</v>
      </c>
      <c r="DB167" s="53" t="str">
        <f t="shared" si="69"/>
        <v>Schwensow, Teri-Ann</v>
      </c>
      <c r="DC167" s="68">
        <f t="shared" si="70"/>
        <v>1</v>
      </c>
      <c r="DD167" s="62">
        <v>0</v>
      </c>
      <c r="DE167" s="209">
        <f t="shared" si="71"/>
        <v>46.899087615281424</v>
      </c>
      <c r="DF167" s="115">
        <f t="shared" si="72"/>
        <v>0</v>
      </c>
      <c r="DG167" s="4">
        <f t="shared" si="73"/>
        <v>0</v>
      </c>
      <c r="DH167" s="115">
        <f t="shared" si="74"/>
        <v>1</v>
      </c>
      <c r="DI167" s="115" t="str">
        <f t="shared" si="75"/>
        <v>CA</v>
      </c>
      <c r="DJ167" s="62">
        <f>IF(COUNT(I167:U167)&lt;5,DA167,SUMPRODUCT(LARGE(I167:U167,{1,2,3,4,5}))/5)</f>
        <v>47.729201466071899</v>
      </c>
      <c r="DK167" s="62">
        <f>IF(COUNT(I167:AN167)&lt;5,DA167,SUMPRODUCT(LARGE(I167:AN167,{1,2,3,4,5}))/5)</f>
        <v>47.729201466071899</v>
      </c>
      <c r="DL167" s="209">
        <f>IF(COUNT(J167:CZ167)&lt;5,AVERAGE(J167:CZ167),SUMPRODUCT(LARGE(J167:CZ167,{1,2,3,4,5}))/5)</f>
        <v>47.729201466071899</v>
      </c>
      <c r="DM167" s="62">
        <f t="shared" si="53"/>
        <v>46.899087615281424</v>
      </c>
      <c r="DN167" s="13" t="str">
        <f t="shared" si="76"/>
        <v>Schwensow, Teri-Ann</v>
      </c>
      <c r="DO167" s="7">
        <v>97</v>
      </c>
      <c r="DP167" s="8"/>
      <c r="DQ167" s="9"/>
      <c r="DR167" s="9"/>
      <c r="DS167" s="121"/>
      <c r="DT167" s="128"/>
      <c r="DU167" s="128"/>
      <c r="DV167" s="128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</row>
    <row r="168" spans="1:139" x14ac:dyDescent="0.2">
      <c r="A168" s="7"/>
      <c r="B168" s="280"/>
      <c r="C168" s="281"/>
      <c r="D168" s="281"/>
      <c r="E168" s="261"/>
      <c r="F168" s="276"/>
      <c r="G168" s="259"/>
      <c r="H168" s="267"/>
      <c r="I168" s="282"/>
      <c r="J168" s="112"/>
      <c r="K168" s="112"/>
      <c r="L168" s="112"/>
      <c r="M168" s="112"/>
      <c r="N168" s="112"/>
      <c r="O168" s="112"/>
      <c r="P168" s="112"/>
      <c r="Q168" s="112"/>
      <c r="R168" s="112"/>
      <c r="S168" s="96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3"/>
      <c r="AG168" s="112"/>
      <c r="AH168" s="112"/>
      <c r="AI168" s="112"/>
      <c r="AJ168" s="112"/>
      <c r="AK168" s="112"/>
      <c r="AL168" s="112"/>
      <c r="AM168" s="112"/>
      <c r="AN168" s="255"/>
      <c r="AO168" s="251"/>
      <c r="AP168" s="112"/>
      <c r="AQ168" s="96"/>
      <c r="AR168" s="112"/>
      <c r="AS168" s="112"/>
      <c r="AT168" s="112"/>
      <c r="AU168" s="112"/>
      <c r="AV168" s="112"/>
      <c r="AW168" s="112"/>
      <c r="AX168" s="112"/>
      <c r="AY168" s="96"/>
      <c r="AZ168" s="112"/>
      <c r="BA168" s="96"/>
      <c r="BB168" s="96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"/>
      <c r="BM168" s="11"/>
      <c r="BN168" s="112"/>
      <c r="BO168" s="96"/>
      <c r="BP168" s="112"/>
      <c r="BQ168" s="112"/>
      <c r="BR168" s="112"/>
      <c r="BS168" s="11"/>
      <c r="BT168" s="11"/>
      <c r="BU168" s="11"/>
      <c r="BV168" s="11"/>
      <c r="BW168" s="112"/>
      <c r="BX168" s="112"/>
      <c r="BY168" s="96"/>
      <c r="BZ168" s="112"/>
      <c r="CA168" s="112"/>
      <c r="CB168" s="112"/>
      <c r="CC168" s="112"/>
      <c r="CD168" s="112"/>
      <c r="CE168" s="112"/>
      <c r="CF168" s="112"/>
      <c r="CG168" s="96"/>
      <c r="CH168" s="112"/>
      <c r="CI168" s="112"/>
      <c r="CJ168" s="96"/>
      <c r="CK168" s="96"/>
      <c r="CL168" s="112"/>
      <c r="CM168" s="112"/>
      <c r="CN168" s="112"/>
      <c r="CO168" s="112"/>
      <c r="CP168" s="112"/>
      <c r="CQ168" s="112"/>
      <c r="CR168" s="112"/>
      <c r="CS168" s="112"/>
      <c r="CT168" s="112"/>
      <c r="CU168" s="112"/>
      <c r="CV168" s="112"/>
      <c r="CW168" s="112"/>
      <c r="CX168" s="112"/>
      <c r="CY168" s="112"/>
      <c r="CZ168" s="112"/>
      <c r="DA168" s="129"/>
      <c r="DB168" s="279"/>
      <c r="DC168" s="263"/>
      <c r="DD168" s="264"/>
      <c r="DE168" s="264"/>
      <c r="DF168" s="263"/>
      <c r="DG168" s="263"/>
      <c r="DH168" s="263"/>
      <c r="DI168" s="263"/>
      <c r="DJ168" s="62"/>
      <c r="DK168" s="264"/>
      <c r="DL168" s="262"/>
      <c r="DM168" s="264"/>
      <c r="DN168" s="265"/>
      <c r="DO168" s="7">
        <v>98</v>
      </c>
      <c r="DP168" s="8"/>
      <c r="DQ168" s="9"/>
      <c r="DR168" s="9"/>
      <c r="DS168" s="121"/>
      <c r="DT168" s="128"/>
      <c r="DU168" s="128"/>
      <c r="DV168" s="128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</row>
    <row r="169" spans="1:139" x14ac:dyDescent="0.2">
      <c r="A169" s="7"/>
      <c r="B169" s="118"/>
      <c r="C169" s="19"/>
      <c r="D169" s="19"/>
      <c r="E169" s="10"/>
      <c r="F169" s="82"/>
      <c r="G169" s="9"/>
      <c r="H169" s="93"/>
      <c r="I169" s="47"/>
      <c r="J169" s="20"/>
      <c r="K169" s="20"/>
      <c r="L169" s="20"/>
      <c r="M169" s="20"/>
      <c r="N169" s="20"/>
      <c r="O169" s="20"/>
      <c r="P169" s="20"/>
      <c r="Q169" s="20"/>
      <c r="R169" s="20"/>
      <c r="S169" s="96"/>
      <c r="T169" s="20"/>
      <c r="U169" s="20"/>
      <c r="V169" s="20"/>
      <c r="W169" s="20"/>
      <c r="X169" s="112"/>
      <c r="Y169" s="20"/>
      <c r="Z169" s="20"/>
      <c r="AA169" s="112"/>
      <c r="AB169" s="20"/>
      <c r="AC169" s="20"/>
      <c r="AD169" s="112"/>
      <c r="AE169" s="20"/>
      <c r="AF169" s="94"/>
      <c r="AG169" s="20"/>
      <c r="AH169" s="20"/>
      <c r="AI169" s="20"/>
      <c r="AJ169" s="20"/>
      <c r="AK169" s="20"/>
      <c r="AL169" s="20"/>
      <c r="AM169" s="20"/>
      <c r="AN169" s="254"/>
      <c r="AO169" s="251"/>
      <c r="AP169" s="20"/>
      <c r="AQ169" s="11"/>
      <c r="AR169" s="20"/>
      <c r="AS169" s="20"/>
      <c r="AT169" s="20"/>
      <c r="AU169" s="20"/>
      <c r="AV169" s="20"/>
      <c r="AW169" s="20"/>
      <c r="AX169" s="20"/>
      <c r="AY169" s="96"/>
      <c r="AZ169" s="112"/>
      <c r="BA169" s="11"/>
      <c r="BB169" s="11"/>
      <c r="BC169" s="20"/>
      <c r="BD169" s="20"/>
      <c r="BE169" s="20"/>
      <c r="BF169" s="20"/>
      <c r="BG169" s="20"/>
      <c r="BH169" s="20"/>
      <c r="BI169" s="20"/>
      <c r="BJ169" s="20"/>
      <c r="BK169" s="20"/>
      <c r="BL169" s="11"/>
      <c r="BM169" s="11"/>
      <c r="BN169" s="20"/>
      <c r="BO169" s="11"/>
      <c r="BP169" s="20"/>
      <c r="BQ169" s="20"/>
      <c r="BR169" s="20"/>
      <c r="BS169" s="11"/>
      <c r="BT169" s="11"/>
      <c r="BU169" s="11"/>
      <c r="BV169" s="11"/>
      <c r="BW169" s="20"/>
      <c r="BX169" s="20"/>
      <c r="BY169" s="11"/>
      <c r="BZ169" s="20"/>
      <c r="CA169" s="20"/>
      <c r="CB169" s="20"/>
      <c r="CC169" s="20"/>
      <c r="CD169" s="20"/>
      <c r="CE169" s="20"/>
      <c r="CF169" s="20"/>
      <c r="CG169" s="96"/>
      <c r="CH169" s="20"/>
      <c r="CI169" s="20"/>
      <c r="CJ169" s="11"/>
      <c r="CK169" s="11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6"/>
      <c r="DB169" s="42"/>
      <c r="DC169" s="43"/>
      <c r="DD169" s="62"/>
      <c r="DE169" s="62"/>
      <c r="DF169" s="4"/>
      <c r="DG169" s="4"/>
      <c r="DH169" s="4"/>
      <c r="DI169" s="4"/>
      <c r="DJ169" s="62"/>
      <c r="DK169" s="62"/>
      <c r="DL169" s="209"/>
      <c r="DM169" s="62"/>
      <c r="DN169" s="13"/>
      <c r="DO169" s="7">
        <v>99</v>
      </c>
      <c r="DP169" s="18"/>
      <c r="DQ169" s="19"/>
      <c r="DR169" s="19"/>
      <c r="DS169" s="123"/>
      <c r="DT169" s="130"/>
      <c r="DU169" s="130"/>
      <c r="DV169" s="130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</row>
    <row r="170" spans="1:139" x14ac:dyDescent="0.2">
      <c r="A170" s="7"/>
      <c r="B170" s="103"/>
      <c r="C170" s="19"/>
      <c r="D170" s="19"/>
      <c r="E170" s="10"/>
      <c r="F170" s="82"/>
      <c r="G170" s="9"/>
      <c r="H170" s="93"/>
      <c r="I170" s="47"/>
      <c r="J170" s="20"/>
      <c r="K170" s="112"/>
      <c r="L170" s="112"/>
      <c r="M170" s="112"/>
      <c r="N170" s="112"/>
      <c r="O170" s="112"/>
      <c r="P170" s="112"/>
      <c r="Q170" s="112"/>
      <c r="R170" s="112"/>
      <c r="S170" s="96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3"/>
      <c r="AG170" s="112"/>
      <c r="AH170" s="112"/>
      <c r="AI170" s="112"/>
      <c r="AJ170" s="112"/>
      <c r="AK170" s="112"/>
      <c r="AL170" s="112"/>
      <c r="AM170" s="112"/>
      <c r="AN170" s="255"/>
      <c r="AO170" s="251"/>
      <c r="AP170" s="112"/>
      <c r="AQ170" s="96"/>
      <c r="AR170" s="112"/>
      <c r="AS170" s="112"/>
      <c r="AT170" s="112"/>
      <c r="AU170" s="112"/>
      <c r="AV170" s="112"/>
      <c r="AW170" s="112"/>
      <c r="AX170" s="112"/>
      <c r="AY170" s="96"/>
      <c r="AZ170" s="112"/>
      <c r="BA170" s="11"/>
      <c r="BB170" s="11"/>
      <c r="BC170" s="112"/>
      <c r="BD170" s="96"/>
      <c r="BE170" s="112"/>
      <c r="BF170" s="96"/>
      <c r="BG170" s="96"/>
      <c r="BH170" s="112"/>
      <c r="BI170" s="96"/>
      <c r="BJ170" s="112"/>
      <c r="BK170" s="112"/>
      <c r="BL170" s="11"/>
      <c r="BM170" s="11"/>
      <c r="BN170" s="112"/>
      <c r="BO170" s="96"/>
      <c r="BP170" s="112"/>
      <c r="BQ170" s="112"/>
      <c r="BR170" s="112"/>
      <c r="BS170" s="11"/>
      <c r="BT170" s="11"/>
      <c r="BU170" s="11"/>
      <c r="BV170" s="11"/>
      <c r="BW170" s="112"/>
      <c r="BX170" s="112"/>
      <c r="BY170" s="96"/>
      <c r="BZ170" s="112"/>
      <c r="CA170" s="112"/>
      <c r="CB170" s="112"/>
      <c r="CC170" s="112"/>
      <c r="CD170" s="112"/>
      <c r="CE170" s="112"/>
      <c r="CF170" s="112"/>
      <c r="CG170" s="96"/>
      <c r="CH170" s="112"/>
      <c r="CI170" s="112"/>
      <c r="CJ170" s="96"/>
      <c r="CK170" s="96"/>
      <c r="CL170" s="112"/>
      <c r="CM170" s="112"/>
      <c r="CN170" s="112"/>
      <c r="CO170" s="112"/>
      <c r="CP170" s="112"/>
      <c r="CQ170" s="112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26"/>
      <c r="DB170" s="42"/>
      <c r="DC170" s="43"/>
      <c r="DD170" s="62"/>
      <c r="DE170" s="62"/>
      <c r="DF170" s="4"/>
      <c r="DG170" s="4"/>
      <c r="DH170" s="4"/>
      <c r="DI170" s="4"/>
      <c r="DJ170" s="62"/>
      <c r="DK170" s="62"/>
      <c r="DL170" s="209"/>
      <c r="DM170" s="62"/>
      <c r="DN170" s="13"/>
      <c r="DO170" s="7">
        <v>100</v>
      </c>
      <c r="DP170" s="18"/>
      <c r="DQ170" s="19"/>
      <c r="DR170" s="19"/>
      <c r="DS170" s="123"/>
      <c r="DT170" s="130"/>
      <c r="DU170" s="130"/>
      <c r="DV170" s="130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</row>
    <row r="171" spans="1:139" x14ac:dyDescent="0.2">
      <c r="A171" s="7"/>
      <c r="B171" s="103"/>
      <c r="C171" s="19"/>
      <c r="D171" s="19"/>
      <c r="E171" s="10"/>
      <c r="F171" s="82"/>
      <c r="G171" s="9"/>
      <c r="H171" s="93"/>
      <c r="I171" s="47"/>
      <c r="J171" s="20"/>
      <c r="K171" s="112"/>
      <c r="L171" s="112"/>
      <c r="M171" s="112"/>
      <c r="N171" s="112"/>
      <c r="O171" s="112"/>
      <c r="P171" s="112"/>
      <c r="Q171" s="112"/>
      <c r="R171" s="112"/>
      <c r="S171" s="96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3"/>
      <c r="AG171" s="112"/>
      <c r="AH171" s="112"/>
      <c r="AI171" s="112"/>
      <c r="AJ171" s="112"/>
      <c r="AK171" s="112"/>
      <c r="AL171" s="112"/>
      <c r="AM171" s="112"/>
      <c r="AN171" s="255"/>
      <c r="AO171" s="251"/>
      <c r="AP171" s="112"/>
      <c r="AQ171" s="96"/>
      <c r="AR171" s="112"/>
      <c r="AS171" s="112"/>
      <c r="AT171" s="112"/>
      <c r="AU171" s="112"/>
      <c r="AV171" s="112"/>
      <c r="AW171" s="112"/>
      <c r="AX171" s="112"/>
      <c r="AY171" s="96"/>
      <c r="AZ171" s="112"/>
      <c r="BA171" s="11"/>
      <c r="BB171" s="11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"/>
      <c r="BM171" s="11"/>
      <c r="BN171" s="112"/>
      <c r="BO171" s="96"/>
      <c r="BP171" s="112"/>
      <c r="BQ171" s="112"/>
      <c r="BR171" s="112"/>
      <c r="BS171" s="11"/>
      <c r="BT171" s="11"/>
      <c r="BU171" s="11"/>
      <c r="BV171" s="11"/>
      <c r="BW171" s="112"/>
      <c r="BX171" s="112"/>
      <c r="BY171" s="96"/>
      <c r="BZ171" s="112"/>
      <c r="CA171" s="112"/>
      <c r="CB171" s="112"/>
      <c r="CC171" s="112"/>
      <c r="CD171" s="112"/>
      <c r="CE171" s="112"/>
      <c r="CF171" s="112"/>
      <c r="CG171" s="96"/>
      <c r="CH171" s="112"/>
      <c r="CI171" s="112"/>
      <c r="CJ171" s="96"/>
      <c r="CK171" s="96"/>
      <c r="CL171" s="112"/>
      <c r="CM171" s="112"/>
      <c r="CN171" s="112"/>
      <c r="CO171" s="112"/>
      <c r="CP171" s="112"/>
      <c r="CQ171" s="112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26"/>
      <c r="DB171" s="42"/>
      <c r="DC171" s="43"/>
      <c r="DD171" s="62"/>
      <c r="DE171" s="62"/>
      <c r="DF171" s="4"/>
      <c r="DG171" s="4"/>
      <c r="DH171" s="4"/>
      <c r="DI171" s="4"/>
      <c r="DJ171" s="62"/>
      <c r="DK171" s="62"/>
      <c r="DL171" s="209"/>
      <c r="DM171" s="62"/>
      <c r="DN171" s="13"/>
      <c r="DO171" s="7">
        <v>101</v>
      </c>
      <c r="DP171" s="18"/>
      <c r="DQ171" s="19"/>
      <c r="DR171" s="19"/>
      <c r="DS171" s="123"/>
      <c r="DT171" s="130"/>
      <c r="DU171" s="130"/>
      <c r="DV171" s="130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</row>
    <row r="172" spans="1:139" x14ac:dyDescent="0.2">
      <c r="A172" s="7"/>
      <c r="B172" s="103"/>
      <c r="C172" s="19"/>
      <c r="D172" s="19"/>
      <c r="E172" s="10"/>
      <c r="F172" s="82"/>
      <c r="G172" s="9"/>
      <c r="H172" s="93"/>
      <c r="I172" s="47"/>
      <c r="J172" s="20"/>
      <c r="K172" s="20"/>
      <c r="L172" s="20"/>
      <c r="M172" s="20"/>
      <c r="N172" s="20"/>
      <c r="O172" s="20"/>
      <c r="P172" s="20"/>
      <c r="Q172" s="20"/>
      <c r="R172" s="20"/>
      <c r="S172" s="96"/>
      <c r="T172" s="20"/>
      <c r="U172" s="20"/>
      <c r="V172" s="20"/>
      <c r="W172" s="20"/>
      <c r="X172" s="112"/>
      <c r="Y172" s="20"/>
      <c r="Z172" s="20"/>
      <c r="AA172" s="112"/>
      <c r="AB172" s="20"/>
      <c r="AC172" s="20"/>
      <c r="AD172" s="112"/>
      <c r="AE172" s="20"/>
      <c r="AF172" s="94"/>
      <c r="AG172" s="20"/>
      <c r="AH172" s="20"/>
      <c r="AI172" s="20"/>
      <c r="AJ172" s="20"/>
      <c r="AK172" s="20"/>
      <c r="AL172" s="20"/>
      <c r="AM172" s="20"/>
      <c r="AN172" s="254"/>
      <c r="AO172" s="251"/>
      <c r="AP172" s="20"/>
      <c r="AQ172" s="96"/>
      <c r="AR172" s="20"/>
      <c r="AS172" s="20"/>
      <c r="AT172" s="20"/>
      <c r="AU172" s="20"/>
      <c r="AV172" s="20"/>
      <c r="AW172" s="20"/>
      <c r="AX172" s="20"/>
      <c r="AY172" s="96"/>
      <c r="AZ172" s="112"/>
      <c r="BA172" s="11"/>
      <c r="BB172" s="11"/>
      <c r="BC172" s="20"/>
      <c r="BD172" s="20"/>
      <c r="BE172" s="20"/>
      <c r="BF172" s="20"/>
      <c r="BG172" s="20"/>
      <c r="BH172" s="20"/>
      <c r="BI172" s="20"/>
      <c r="BJ172" s="20"/>
      <c r="BK172" s="112"/>
      <c r="BL172" s="11"/>
      <c r="BM172" s="11"/>
      <c r="BN172" s="20"/>
      <c r="BO172" s="96"/>
      <c r="BP172" s="20"/>
      <c r="BQ172" s="112"/>
      <c r="BR172" s="112"/>
      <c r="BS172" s="11"/>
      <c r="BT172" s="11"/>
      <c r="BU172" s="11"/>
      <c r="BV172" s="11"/>
      <c r="BW172" s="20"/>
      <c r="BX172" s="20"/>
      <c r="BY172" s="96"/>
      <c r="BZ172" s="20"/>
      <c r="CA172" s="20"/>
      <c r="CB172" s="20"/>
      <c r="CC172" s="20"/>
      <c r="CD172" s="20"/>
      <c r="CE172" s="20"/>
      <c r="CF172" s="20"/>
      <c r="CG172" s="96"/>
      <c r="CH172" s="20"/>
      <c r="CI172" s="20"/>
      <c r="CJ172" s="96"/>
      <c r="CK172" s="96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6"/>
      <c r="DB172" s="42"/>
      <c r="DC172" s="43"/>
      <c r="DD172" s="62"/>
      <c r="DE172" s="62"/>
      <c r="DF172" s="4"/>
      <c r="DG172" s="4"/>
      <c r="DH172" s="4"/>
      <c r="DI172" s="4"/>
      <c r="DJ172" s="62"/>
      <c r="DK172" s="62"/>
      <c r="DL172" s="209"/>
      <c r="DM172" s="62"/>
      <c r="DN172" s="13"/>
      <c r="DO172" s="7">
        <v>102</v>
      </c>
      <c r="DP172" s="18"/>
      <c r="DQ172" s="19"/>
      <c r="DR172" s="19"/>
      <c r="DS172" s="123"/>
      <c r="DT172" s="130"/>
      <c r="DU172" s="130"/>
      <c r="DV172" s="130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</row>
    <row r="173" spans="1:139" x14ac:dyDescent="0.2">
      <c r="A173" s="7"/>
      <c r="B173" s="103"/>
      <c r="C173" s="19"/>
      <c r="D173" s="19"/>
      <c r="E173" s="10"/>
      <c r="F173" s="82"/>
      <c r="G173" s="9"/>
      <c r="H173" s="93"/>
      <c r="I173" s="47"/>
      <c r="J173" s="20"/>
      <c r="K173" s="112"/>
      <c r="L173" s="112"/>
      <c r="M173" s="112"/>
      <c r="N173" s="112"/>
      <c r="O173" s="112"/>
      <c r="P173" s="112"/>
      <c r="Q173" s="112"/>
      <c r="R173" s="112"/>
      <c r="S173" s="96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3"/>
      <c r="AG173" s="112"/>
      <c r="AH173" s="112"/>
      <c r="AI173" s="112"/>
      <c r="AJ173" s="112"/>
      <c r="AK173" s="112"/>
      <c r="AL173" s="112"/>
      <c r="AM173" s="112"/>
      <c r="AN173" s="255"/>
      <c r="AO173" s="251"/>
      <c r="AP173" s="112"/>
      <c r="AQ173" s="96"/>
      <c r="AR173" s="112"/>
      <c r="AS173" s="112"/>
      <c r="AT173" s="112"/>
      <c r="AU173" s="112"/>
      <c r="AV173" s="112"/>
      <c r="AW173" s="112"/>
      <c r="AX173" s="112"/>
      <c r="AY173" s="96"/>
      <c r="AZ173" s="112"/>
      <c r="BA173" s="11"/>
      <c r="BB173" s="11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"/>
      <c r="BM173" s="11"/>
      <c r="BN173" s="112"/>
      <c r="BO173" s="96"/>
      <c r="BP173" s="112"/>
      <c r="BQ173" s="112"/>
      <c r="BR173" s="112"/>
      <c r="BS173" s="11"/>
      <c r="BT173" s="11"/>
      <c r="BU173" s="11"/>
      <c r="BV173" s="11"/>
      <c r="BW173" s="112"/>
      <c r="BX173" s="112"/>
      <c r="BY173" s="96"/>
      <c r="BZ173" s="112"/>
      <c r="CA173" s="112"/>
      <c r="CB173" s="112"/>
      <c r="CC173" s="112"/>
      <c r="CD173" s="112"/>
      <c r="CE173" s="112"/>
      <c r="CF173" s="112"/>
      <c r="CG173" s="96"/>
      <c r="CH173" s="112"/>
      <c r="CI173" s="112"/>
      <c r="CJ173" s="96"/>
      <c r="CK173" s="96"/>
      <c r="CL173" s="112"/>
      <c r="CM173" s="112"/>
      <c r="CN173" s="112"/>
      <c r="CO173" s="112"/>
      <c r="CP173" s="112"/>
      <c r="CQ173" s="112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26"/>
      <c r="DB173" s="42"/>
      <c r="DC173" s="43"/>
      <c r="DD173" s="62"/>
      <c r="DE173" s="62"/>
      <c r="DF173" s="4"/>
      <c r="DG173" s="4"/>
      <c r="DH173" s="4"/>
      <c r="DI173" s="4"/>
      <c r="DJ173" s="62"/>
      <c r="DK173" s="62"/>
      <c r="DL173" s="209"/>
      <c r="DM173" s="62"/>
      <c r="DN173" s="13"/>
      <c r="DO173" s="7">
        <v>103</v>
      </c>
      <c r="DP173" s="18"/>
      <c r="DQ173" s="19"/>
      <c r="DR173" s="19"/>
      <c r="DS173" s="123"/>
      <c r="DT173" s="130"/>
      <c r="DU173" s="130"/>
      <c r="DV173" s="130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</row>
    <row r="174" spans="1:139" x14ac:dyDescent="0.2">
      <c r="A174" s="7"/>
      <c r="B174" s="103"/>
      <c r="C174" s="19"/>
      <c r="D174" s="19"/>
      <c r="E174" s="10"/>
      <c r="F174" s="82"/>
      <c r="G174" s="9"/>
      <c r="H174" s="93"/>
      <c r="I174" s="47"/>
      <c r="J174" s="20"/>
      <c r="K174" s="20"/>
      <c r="L174" s="20"/>
      <c r="M174" s="20"/>
      <c r="N174" s="20"/>
      <c r="O174" s="20"/>
      <c r="P174" s="20"/>
      <c r="Q174" s="20"/>
      <c r="R174" s="20"/>
      <c r="S174" s="96"/>
      <c r="T174" s="20"/>
      <c r="U174" s="20"/>
      <c r="V174" s="11"/>
      <c r="W174" s="20"/>
      <c r="X174" s="112"/>
      <c r="Y174" s="20"/>
      <c r="Z174" s="20"/>
      <c r="AA174" s="112"/>
      <c r="AB174" s="20"/>
      <c r="AC174" s="20"/>
      <c r="AD174" s="112"/>
      <c r="AE174" s="20"/>
      <c r="AF174" s="94"/>
      <c r="AG174" s="11"/>
      <c r="AH174" s="11"/>
      <c r="AI174" s="11"/>
      <c r="AJ174" s="11"/>
      <c r="AK174" s="20"/>
      <c r="AL174" s="11"/>
      <c r="AM174" s="20"/>
      <c r="AN174" s="254"/>
      <c r="AO174" s="251"/>
      <c r="AP174" s="20"/>
      <c r="AQ174" s="11"/>
      <c r="AR174" s="20"/>
      <c r="AS174" s="20"/>
      <c r="AT174" s="20"/>
      <c r="AU174" s="20"/>
      <c r="AV174" s="20"/>
      <c r="AW174" s="20"/>
      <c r="AX174" s="20"/>
      <c r="AY174" s="96"/>
      <c r="AZ174" s="112"/>
      <c r="BA174" s="11"/>
      <c r="BB174" s="11"/>
      <c r="BC174" s="20"/>
      <c r="BD174" s="20"/>
      <c r="BE174" s="20"/>
      <c r="BF174" s="20"/>
      <c r="BG174" s="20"/>
      <c r="BH174" s="20"/>
      <c r="BI174" s="20"/>
      <c r="BJ174" s="20"/>
      <c r="BK174" s="20"/>
      <c r="BL174" s="11"/>
      <c r="BM174" s="11"/>
      <c r="BN174" s="20"/>
      <c r="BO174" s="11"/>
      <c r="BP174" s="20"/>
      <c r="BQ174" s="20"/>
      <c r="BR174" s="20"/>
      <c r="BS174" s="11"/>
      <c r="BT174" s="11"/>
      <c r="BU174" s="11"/>
      <c r="BV174" s="11"/>
      <c r="BW174" s="20"/>
      <c r="BX174" s="20"/>
      <c r="BY174" s="96"/>
      <c r="BZ174" s="112"/>
      <c r="CA174" s="20"/>
      <c r="CB174" s="20"/>
      <c r="CC174" s="20"/>
      <c r="CD174" s="20"/>
      <c r="CE174" s="20"/>
      <c r="CF174" s="20"/>
      <c r="CG174" s="96"/>
      <c r="CH174" s="20"/>
      <c r="CI174" s="20"/>
      <c r="CJ174" s="96"/>
      <c r="CK174" s="96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6"/>
      <c r="DB174" s="42"/>
      <c r="DC174" s="43"/>
      <c r="DD174" s="62"/>
      <c r="DE174" s="62"/>
      <c r="DF174" s="4"/>
      <c r="DG174" s="4"/>
      <c r="DH174" s="4"/>
      <c r="DI174" s="4"/>
      <c r="DJ174" s="62"/>
      <c r="DK174" s="62"/>
      <c r="DL174" s="209"/>
      <c r="DM174" s="62"/>
      <c r="DN174" s="13"/>
      <c r="DO174" s="7">
        <v>104</v>
      </c>
      <c r="DP174" s="103"/>
      <c r="DQ174" s="19"/>
      <c r="DR174" s="19"/>
      <c r="DS174" s="123"/>
      <c r="DT174" s="130"/>
      <c r="DU174" s="130"/>
      <c r="DV174" s="130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</row>
    <row r="175" spans="1:139" x14ac:dyDescent="0.2">
      <c r="A175" s="7"/>
      <c r="B175" s="103"/>
      <c r="C175" s="19"/>
      <c r="D175" s="19"/>
      <c r="E175" s="82"/>
      <c r="F175" s="82"/>
      <c r="G175" s="9"/>
      <c r="H175" s="93"/>
      <c r="I175" s="47"/>
      <c r="J175" s="20"/>
      <c r="K175" s="112"/>
      <c r="L175" s="112"/>
      <c r="M175" s="112"/>
      <c r="N175" s="112"/>
      <c r="O175" s="112"/>
      <c r="P175" s="112"/>
      <c r="Q175" s="112"/>
      <c r="R175" s="112"/>
      <c r="S175" s="96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3"/>
      <c r="AG175" s="112"/>
      <c r="AH175" s="112"/>
      <c r="AI175" s="112"/>
      <c r="AJ175" s="112"/>
      <c r="AK175" s="112"/>
      <c r="AL175" s="112"/>
      <c r="AM175" s="112"/>
      <c r="AN175" s="255"/>
      <c r="AO175" s="251"/>
      <c r="AP175" s="112"/>
      <c r="AQ175" s="96"/>
      <c r="AR175" s="112"/>
      <c r="AS175" s="112"/>
      <c r="AT175" s="112"/>
      <c r="AU175" s="112"/>
      <c r="AV175" s="112"/>
      <c r="AW175" s="112"/>
      <c r="AX175" s="112"/>
      <c r="AY175" s="96"/>
      <c r="AZ175" s="112"/>
      <c r="BA175" s="11"/>
      <c r="BB175" s="11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"/>
      <c r="BM175" s="11"/>
      <c r="BN175" s="112"/>
      <c r="BO175" s="96"/>
      <c r="BP175" s="112"/>
      <c r="BQ175" s="112"/>
      <c r="BR175" s="112"/>
      <c r="BS175" s="11"/>
      <c r="BT175" s="11"/>
      <c r="BU175" s="11"/>
      <c r="BV175" s="11"/>
      <c r="BW175" s="112"/>
      <c r="BX175" s="112"/>
      <c r="BY175" s="96"/>
      <c r="BZ175" s="112"/>
      <c r="CA175" s="112"/>
      <c r="CB175" s="112"/>
      <c r="CC175" s="112"/>
      <c r="CD175" s="112"/>
      <c r="CE175" s="112"/>
      <c r="CF175" s="112"/>
      <c r="CG175" s="96"/>
      <c r="CH175" s="112"/>
      <c r="CI175" s="112"/>
      <c r="CJ175" s="96"/>
      <c r="CK175" s="96"/>
      <c r="CL175" s="112"/>
      <c r="CM175" s="112"/>
      <c r="CN175" s="112"/>
      <c r="CO175" s="112"/>
      <c r="CP175" s="112"/>
      <c r="CQ175" s="112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26"/>
      <c r="DB175" s="42"/>
      <c r="DC175" s="43"/>
      <c r="DD175" s="62"/>
      <c r="DE175" s="62"/>
      <c r="DF175" s="4"/>
      <c r="DG175" s="4"/>
      <c r="DH175" s="4"/>
      <c r="DI175" s="4"/>
      <c r="DJ175" s="62"/>
      <c r="DK175" s="62"/>
      <c r="DL175" s="209"/>
      <c r="DM175" s="62"/>
      <c r="DN175" s="13"/>
      <c r="DO175" s="7">
        <v>105</v>
      </c>
      <c r="DP175" s="103"/>
      <c r="DQ175" s="19"/>
      <c r="DR175" s="19"/>
      <c r="DS175" s="123"/>
      <c r="DT175" s="130"/>
      <c r="DU175" s="130"/>
      <c r="DV175" s="130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</row>
    <row r="176" spans="1:139" x14ac:dyDescent="0.2">
      <c r="A176" s="7"/>
      <c r="B176" s="103"/>
      <c r="C176" s="19"/>
      <c r="D176" s="19"/>
      <c r="E176" s="82"/>
      <c r="F176" s="82"/>
      <c r="G176" s="9"/>
      <c r="H176" s="93"/>
      <c r="I176" s="47"/>
      <c r="J176" s="20"/>
      <c r="K176" s="112"/>
      <c r="L176" s="112"/>
      <c r="M176" s="112"/>
      <c r="N176" s="112"/>
      <c r="O176" s="112"/>
      <c r="P176" s="112"/>
      <c r="Q176" s="112"/>
      <c r="R176" s="112"/>
      <c r="S176" s="96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3"/>
      <c r="AG176" s="112"/>
      <c r="AH176" s="112"/>
      <c r="AI176" s="112"/>
      <c r="AJ176" s="112"/>
      <c r="AK176" s="112"/>
      <c r="AL176" s="112"/>
      <c r="AM176" s="112"/>
      <c r="AN176" s="255"/>
      <c r="AO176" s="251"/>
      <c r="AP176" s="112"/>
      <c r="AQ176" s="96"/>
      <c r="AR176" s="112"/>
      <c r="AS176" s="112"/>
      <c r="AT176" s="112"/>
      <c r="AU176" s="112"/>
      <c r="AV176" s="112"/>
      <c r="AW176" s="112"/>
      <c r="AX176" s="112"/>
      <c r="AY176" s="96"/>
      <c r="AZ176" s="112"/>
      <c r="BA176" s="11"/>
      <c r="BB176" s="11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"/>
      <c r="BM176" s="11"/>
      <c r="BN176" s="112"/>
      <c r="BO176" s="96"/>
      <c r="BP176" s="112"/>
      <c r="BQ176" s="112"/>
      <c r="BR176" s="112"/>
      <c r="BS176" s="11"/>
      <c r="BT176" s="11"/>
      <c r="BU176" s="11"/>
      <c r="BV176" s="11"/>
      <c r="BW176" s="112"/>
      <c r="BX176" s="112"/>
      <c r="BY176" s="96"/>
      <c r="BZ176" s="112"/>
      <c r="CA176" s="112"/>
      <c r="CB176" s="112"/>
      <c r="CC176" s="112"/>
      <c r="CD176" s="112"/>
      <c r="CE176" s="112"/>
      <c r="CF176" s="112"/>
      <c r="CG176" s="96"/>
      <c r="CH176" s="112"/>
      <c r="CI176" s="112"/>
      <c r="CJ176" s="96"/>
      <c r="CK176" s="96"/>
      <c r="CL176" s="112"/>
      <c r="CM176" s="112"/>
      <c r="CN176" s="112"/>
      <c r="CO176" s="112"/>
      <c r="CP176" s="112"/>
      <c r="CQ176" s="112"/>
      <c r="CR176" s="112"/>
      <c r="CS176" s="112"/>
      <c r="CT176" s="112"/>
      <c r="CU176" s="20"/>
      <c r="CV176" s="20"/>
      <c r="CW176" s="20"/>
      <c r="CX176" s="112"/>
      <c r="CY176" s="112"/>
      <c r="CZ176" s="112"/>
      <c r="DA176" s="26"/>
      <c r="DB176" s="42"/>
      <c r="DC176" s="43"/>
      <c r="DD176" s="62"/>
      <c r="DE176" s="62"/>
      <c r="DF176" s="4"/>
      <c r="DG176" s="4"/>
      <c r="DH176" s="4"/>
      <c r="DI176" s="4"/>
      <c r="DJ176" s="62"/>
      <c r="DK176" s="62"/>
      <c r="DL176" s="209"/>
      <c r="DM176" s="62"/>
      <c r="DN176" s="13"/>
      <c r="DO176" s="7">
        <v>106</v>
      </c>
      <c r="DP176" s="103"/>
      <c r="DQ176" s="19"/>
      <c r="DR176" s="19"/>
      <c r="DS176" s="123"/>
      <c r="DT176" s="130"/>
      <c r="DU176" s="130"/>
      <c r="DV176" s="130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</row>
    <row r="177" spans="1:137" x14ac:dyDescent="0.2">
      <c r="A177" s="7"/>
      <c r="B177" s="18"/>
      <c r="C177" s="19"/>
      <c r="D177" s="19"/>
      <c r="E177" s="82"/>
      <c r="F177" s="82"/>
      <c r="G177" s="9"/>
      <c r="H177" s="93"/>
      <c r="I177" s="47"/>
      <c r="J177" s="112"/>
      <c r="K177" s="112"/>
      <c r="L177" s="112"/>
      <c r="M177" s="191"/>
      <c r="N177" s="112"/>
      <c r="O177" s="112"/>
      <c r="P177" s="191"/>
      <c r="Q177" s="112"/>
      <c r="R177" s="191"/>
      <c r="S177" s="96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3"/>
      <c r="AG177" s="112"/>
      <c r="AH177" s="112"/>
      <c r="AI177" s="112"/>
      <c r="AJ177" s="112"/>
      <c r="AK177" s="112"/>
      <c r="AL177" s="112"/>
      <c r="AM177" s="112"/>
      <c r="AN177" s="255"/>
      <c r="AO177" s="251"/>
      <c r="AP177" s="112"/>
      <c r="AQ177" s="96"/>
      <c r="AR177" s="112"/>
      <c r="AS177" s="112"/>
      <c r="AT177" s="112"/>
      <c r="AU177" s="112"/>
      <c r="AV177" s="112"/>
      <c r="AW177" s="112"/>
      <c r="AX177" s="112"/>
      <c r="AY177" s="96"/>
      <c r="AZ177" s="112"/>
      <c r="BA177" s="11"/>
      <c r="BB177" s="11"/>
      <c r="BC177" s="112"/>
      <c r="BD177" s="112"/>
      <c r="BE177" s="112"/>
      <c r="BF177" s="112"/>
      <c r="BG177" s="112"/>
      <c r="BH177" s="112"/>
      <c r="BI177" s="112"/>
      <c r="BJ177" s="112"/>
      <c r="BK177" s="112"/>
      <c r="BL177" s="11"/>
      <c r="BM177" s="11"/>
      <c r="BN177" s="112"/>
      <c r="BO177" s="96"/>
      <c r="BP177" s="112"/>
      <c r="BQ177" s="112"/>
      <c r="BR177" s="112"/>
      <c r="BS177" s="11"/>
      <c r="BT177" s="11"/>
      <c r="BU177" s="11"/>
      <c r="BV177" s="11"/>
      <c r="BW177" s="112"/>
      <c r="BX177" s="112"/>
      <c r="BY177" s="96"/>
      <c r="BZ177" s="112"/>
      <c r="CA177" s="112"/>
      <c r="CB177" s="112"/>
      <c r="CC177" s="112"/>
      <c r="CD177" s="112"/>
      <c r="CE177" s="112"/>
      <c r="CF177" s="112"/>
      <c r="CG177" s="96"/>
      <c r="CH177" s="112"/>
      <c r="CI177" s="112"/>
      <c r="CJ177" s="96"/>
      <c r="CK177" s="96"/>
      <c r="CL177" s="112"/>
      <c r="CM177" s="112"/>
      <c r="CN177" s="112"/>
      <c r="CO177" s="112"/>
      <c r="CP177" s="112"/>
      <c r="CQ177" s="112"/>
      <c r="CR177" s="112"/>
      <c r="CS177" s="112"/>
      <c r="CT177" s="112"/>
      <c r="CU177" s="112"/>
      <c r="CV177" s="112"/>
      <c r="CW177" s="112"/>
      <c r="CX177" s="112"/>
      <c r="CY177" s="112"/>
      <c r="CZ177" s="112"/>
      <c r="DA177" s="26"/>
      <c r="DB177" s="42"/>
      <c r="DC177" s="43"/>
      <c r="DD177" s="62"/>
      <c r="DE177" s="62"/>
      <c r="DF177" s="4"/>
      <c r="DG177" s="4"/>
      <c r="DH177" s="4"/>
      <c r="DI177" s="4"/>
      <c r="DJ177" s="62"/>
      <c r="DK177" s="62"/>
      <c r="DL177" s="209"/>
      <c r="DM177" s="62"/>
      <c r="DN177" s="13"/>
      <c r="DO177" s="7">
        <v>107</v>
      </c>
      <c r="DP177" s="103"/>
      <c r="DQ177" s="19"/>
      <c r="DR177" s="19"/>
      <c r="DS177" s="123"/>
      <c r="DT177" s="130"/>
      <c r="DU177" s="130"/>
      <c r="DV177" s="130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</row>
    <row r="178" spans="1:137" x14ac:dyDescent="0.2">
      <c r="A178" s="7"/>
      <c r="B178" s="18"/>
      <c r="C178" s="19"/>
      <c r="D178" s="19"/>
      <c r="E178" s="82"/>
      <c r="F178" s="82"/>
      <c r="G178" s="9"/>
      <c r="H178" s="93"/>
      <c r="I178" s="47"/>
      <c r="J178" s="20"/>
      <c r="K178" s="112"/>
      <c r="L178" s="112"/>
      <c r="M178" s="112"/>
      <c r="N178" s="112"/>
      <c r="O178" s="112"/>
      <c r="P178" s="112"/>
      <c r="Q178" s="112"/>
      <c r="R178" s="112"/>
      <c r="S178" s="96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3"/>
      <c r="AG178" s="112"/>
      <c r="AH178" s="112"/>
      <c r="AI178" s="112"/>
      <c r="AJ178" s="112"/>
      <c r="AK178" s="112"/>
      <c r="AL178" s="112"/>
      <c r="AM178" s="112"/>
      <c r="AN178" s="255"/>
      <c r="AO178" s="251"/>
      <c r="AP178" s="112"/>
      <c r="AQ178" s="96"/>
      <c r="AR178" s="112"/>
      <c r="AS178" s="112"/>
      <c r="AT178" s="112"/>
      <c r="AU178" s="112"/>
      <c r="AV178" s="112"/>
      <c r="AW178" s="112"/>
      <c r="AX178" s="112"/>
      <c r="AY178" s="96"/>
      <c r="AZ178" s="112"/>
      <c r="BA178" s="11"/>
      <c r="BB178" s="11"/>
      <c r="BC178" s="96"/>
      <c r="BD178" s="112"/>
      <c r="BE178" s="96"/>
      <c r="BF178" s="112"/>
      <c r="BG178" s="112"/>
      <c r="BH178" s="112"/>
      <c r="BI178" s="112"/>
      <c r="BJ178" s="112"/>
      <c r="BK178" s="112"/>
      <c r="BL178" s="11"/>
      <c r="BM178" s="11"/>
      <c r="BN178" s="112"/>
      <c r="BO178" s="96"/>
      <c r="BP178" s="112"/>
      <c r="BQ178" s="112"/>
      <c r="BR178" s="112"/>
      <c r="BS178" s="11"/>
      <c r="BT178" s="11"/>
      <c r="BU178" s="11"/>
      <c r="BV178" s="11"/>
      <c r="BW178" s="112"/>
      <c r="BX178" s="112"/>
      <c r="BY178" s="96"/>
      <c r="BZ178" s="112"/>
      <c r="CA178" s="112"/>
      <c r="CB178" s="112"/>
      <c r="CC178" s="112"/>
      <c r="CD178" s="112"/>
      <c r="CE178" s="112"/>
      <c r="CF178" s="112"/>
      <c r="CG178" s="96"/>
      <c r="CH178" s="112"/>
      <c r="CI178" s="112"/>
      <c r="CJ178" s="96"/>
      <c r="CK178" s="96"/>
      <c r="CL178" s="112"/>
      <c r="CM178" s="112"/>
      <c r="CN178" s="112"/>
      <c r="CO178" s="112"/>
      <c r="CP178" s="112"/>
      <c r="CQ178" s="96"/>
      <c r="CR178" s="112"/>
      <c r="CS178" s="112"/>
      <c r="CT178" s="112"/>
      <c r="CU178" s="112"/>
      <c r="CV178" s="112"/>
      <c r="CW178" s="112"/>
      <c r="CX178" s="112"/>
      <c r="CY178" s="112"/>
      <c r="CZ178" s="112"/>
      <c r="DA178" s="26"/>
      <c r="DB178" s="42"/>
      <c r="DC178" s="43"/>
      <c r="DD178" s="62"/>
      <c r="DE178" s="62"/>
      <c r="DF178" s="4"/>
      <c r="DG178" s="4"/>
      <c r="DH178" s="4"/>
      <c r="DI178" s="4"/>
      <c r="DJ178" s="62"/>
      <c r="DK178" s="62"/>
      <c r="DL178" s="209"/>
      <c r="DM178" s="62"/>
      <c r="DN178" s="13"/>
      <c r="DO178" s="7">
        <v>108</v>
      </c>
      <c r="DP178" s="138"/>
      <c r="DQ178" s="19"/>
      <c r="DR178" s="19"/>
      <c r="DS178" s="123"/>
      <c r="DT178" s="130"/>
      <c r="DU178" s="130"/>
      <c r="DV178" s="130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</row>
    <row r="179" spans="1:137" x14ac:dyDescent="0.2">
      <c r="A179" s="7"/>
      <c r="B179" s="190"/>
      <c r="C179" s="19"/>
      <c r="D179" s="19"/>
      <c r="E179" s="82"/>
      <c r="F179" s="82"/>
      <c r="G179" s="9"/>
      <c r="H179" s="93"/>
      <c r="I179" s="47"/>
      <c r="J179" s="20"/>
      <c r="K179" s="20"/>
      <c r="L179" s="20"/>
      <c r="M179" s="20"/>
      <c r="N179" s="20"/>
      <c r="O179" s="20"/>
      <c r="P179" s="20"/>
      <c r="Q179" s="20"/>
      <c r="R179" s="20"/>
      <c r="S179" s="11"/>
      <c r="T179" s="112"/>
      <c r="U179" s="20"/>
      <c r="V179" s="20"/>
      <c r="W179" s="20"/>
      <c r="X179" s="112"/>
      <c r="Y179" s="112"/>
      <c r="Z179" s="112"/>
      <c r="AA179" s="112"/>
      <c r="AB179" s="112"/>
      <c r="AC179" s="112"/>
      <c r="AD179" s="112"/>
      <c r="AE179" s="112"/>
      <c r="AF179" s="113"/>
      <c r="AG179" s="20"/>
      <c r="AH179" s="20"/>
      <c r="AI179" s="20"/>
      <c r="AJ179" s="20"/>
      <c r="AK179" s="20"/>
      <c r="AL179" s="20"/>
      <c r="AM179" s="20"/>
      <c r="AN179" s="254"/>
      <c r="AO179" s="251"/>
      <c r="AP179" s="11"/>
      <c r="AQ179" s="11"/>
      <c r="AR179" s="11"/>
      <c r="AS179" s="20"/>
      <c r="AT179" s="11"/>
      <c r="AU179" s="20"/>
      <c r="AV179" s="20"/>
      <c r="AW179" s="20"/>
      <c r="AX179" s="112"/>
      <c r="AY179" s="96"/>
      <c r="AZ179" s="112"/>
      <c r="BA179" s="11"/>
      <c r="BB179" s="11"/>
      <c r="BC179" s="96"/>
      <c r="BD179" s="20"/>
      <c r="BE179" s="96"/>
      <c r="BF179" s="20"/>
      <c r="BG179" s="20"/>
      <c r="BH179" s="20"/>
      <c r="BI179" s="20"/>
      <c r="BJ179" s="20"/>
      <c r="BK179" s="20"/>
      <c r="BL179" s="11"/>
      <c r="BM179" s="11"/>
      <c r="BN179" s="112"/>
      <c r="BO179" s="11"/>
      <c r="BP179" s="20"/>
      <c r="BQ179" s="20"/>
      <c r="BR179" s="20"/>
      <c r="BS179" s="11"/>
      <c r="BT179" s="11"/>
      <c r="BU179" s="11"/>
      <c r="BV179" s="11"/>
      <c r="BW179" s="112"/>
      <c r="BX179" s="20"/>
      <c r="BY179" s="11"/>
      <c r="BZ179" s="20"/>
      <c r="CA179" s="20"/>
      <c r="CB179" s="20"/>
      <c r="CC179" s="20"/>
      <c r="CD179" s="20"/>
      <c r="CE179" s="20"/>
      <c r="CF179" s="20"/>
      <c r="CG179" s="96"/>
      <c r="CH179" s="20"/>
      <c r="CI179" s="20"/>
      <c r="CJ179" s="11"/>
      <c r="CK179" s="11"/>
      <c r="CL179" s="20"/>
      <c r="CM179" s="20"/>
      <c r="CN179" s="20"/>
      <c r="CO179" s="20"/>
      <c r="CP179" s="20"/>
      <c r="CQ179" s="11"/>
      <c r="CR179" s="20"/>
      <c r="CS179" s="20"/>
      <c r="CT179" s="20"/>
      <c r="CU179" s="20"/>
      <c r="CV179" s="20"/>
      <c r="CW179" s="20"/>
      <c r="CX179" s="112"/>
      <c r="CY179" s="112"/>
      <c r="CZ179" s="20"/>
      <c r="DA179" s="26"/>
      <c r="DB179" s="53"/>
      <c r="DC179" s="68"/>
      <c r="DD179" s="62"/>
      <c r="DE179" s="209"/>
      <c r="DF179" s="115"/>
      <c r="DG179" s="115"/>
      <c r="DH179" s="115"/>
      <c r="DI179" s="115"/>
      <c r="DJ179" s="62"/>
      <c r="DK179" s="62"/>
      <c r="DL179" s="209"/>
      <c r="DM179" s="209"/>
      <c r="DN179" s="54"/>
      <c r="DO179" s="7">
        <v>109</v>
      </c>
      <c r="DP179" s="103"/>
      <c r="DQ179" s="19"/>
      <c r="DR179" s="19"/>
      <c r="DS179" s="123"/>
      <c r="DT179" s="130"/>
      <c r="DU179" s="130"/>
      <c r="DV179" s="130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</row>
    <row r="180" spans="1:137" x14ac:dyDescent="0.2">
      <c r="A180" s="7"/>
      <c r="B180" s="18"/>
      <c r="C180" s="19"/>
      <c r="D180" s="19"/>
      <c r="E180" s="82"/>
      <c r="F180" s="82"/>
      <c r="G180" s="9"/>
      <c r="H180" s="93"/>
      <c r="I180" s="47"/>
      <c r="J180" s="20"/>
      <c r="K180" s="112"/>
      <c r="L180" s="112"/>
      <c r="M180" s="112"/>
      <c r="N180" s="112"/>
      <c r="O180" s="112"/>
      <c r="P180" s="191"/>
      <c r="Q180" s="112"/>
      <c r="R180" s="112"/>
      <c r="S180" s="96"/>
      <c r="T180" s="191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3"/>
      <c r="AG180" s="112"/>
      <c r="AH180" s="112"/>
      <c r="AI180" s="112"/>
      <c r="AJ180" s="112"/>
      <c r="AK180" s="112"/>
      <c r="AL180" s="112"/>
      <c r="AM180" s="112"/>
      <c r="AN180" s="255"/>
      <c r="AO180" s="251"/>
      <c r="AP180" s="112"/>
      <c r="AQ180" s="96"/>
      <c r="AR180" s="112"/>
      <c r="AS180" s="112"/>
      <c r="AT180" s="112"/>
      <c r="AU180" s="112"/>
      <c r="AV180" s="112"/>
      <c r="AW180" s="112"/>
      <c r="AX180" s="112"/>
      <c r="AY180" s="96"/>
      <c r="AZ180" s="112"/>
      <c r="BA180" s="11"/>
      <c r="BB180" s="11"/>
      <c r="BC180" s="96"/>
      <c r="BD180" s="112"/>
      <c r="BE180" s="96"/>
      <c r="BF180" s="112"/>
      <c r="BG180" s="112"/>
      <c r="BH180" s="112"/>
      <c r="BI180" s="112"/>
      <c r="BJ180" s="112"/>
      <c r="BK180" s="112"/>
      <c r="BL180" s="112"/>
      <c r="BM180" s="96"/>
      <c r="BN180" s="112"/>
      <c r="BO180" s="96"/>
      <c r="BP180" s="112"/>
      <c r="BQ180" s="112"/>
      <c r="BR180" s="112"/>
      <c r="BS180" s="11"/>
      <c r="BT180" s="11"/>
      <c r="BU180" s="11"/>
      <c r="BV180" s="11"/>
      <c r="BW180" s="112"/>
      <c r="BX180" s="112"/>
      <c r="BY180" s="96"/>
      <c r="BZ180" s="112"/>
      <c r="CA180" s="112"/>
      <c r="CB180" s="112"/>
      <c r="CC180" s="112"/>
      <c r="CD180" s="112"/>
      <c r="CE180" s="112"/>
      <c r="CF180" s="112"/>
      <c r="CG180" s="96"/>
      <c r="CH180" s="112"/>
      <c r="CI180" s="112"/>
      <c r="CJ180" s="96"/>
      <c r="CK180" s="96"/>
      <c r="CL180" s="112"/>
      <c r="CM180" s="112"/>
      <c r="CN180" s="112"/>
      <c r="CO180" s="112"/>
      <c r="CP180" s="112"/>
      <c r="CQ180" s="96"/>
      <c r="CR180" s="112"/>
      <c r="CS180" s="112"/>
      <c r="CT180" s="112"/>
      <c r="CU180" s="112"/>
      <c r="CV180" s="112"/>
      <c r="CW180" s="112"/>
      <c r="CX180" s="112"/>
      <c r="CY180" s="112"/>
      <c r="CZ180" s="112"/>
      <c r="DA180" s="26"/>
      <c r="DB180" s="42"/>
      <c r="DC180" s="43"/>
      <c r="DD180" s="62"/>
      <c r="DE180" s="62"/>
      <c r="DF180" s="4"/>
      <c r="DG180" s="4"/>
      <c r="DH180" s="4"/>
      <c r="DI180" s="4"/>
      <c r="DJ180" s="62"/>
      <c r="DK180" s="62"/>
      <c r="DL180" s="209"/>
      <c r="DM180" s="62"/>
      <c r="DN180" s="13"/>
      <c r="DO180" s="7">
        <v>110</v>
      </c>
      <c r="DP180" s="103"/>
      <c r="DQ180" s="19"/>
      <c r="DR180" s="19"/>
      <c r="DS180" s="123"/>
      <c r="DT180" s="130"/>
      <c r="DU180" s="130"/>
      <c r="DV180" s="130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</row>
    <row r="181" spans="1:137" x14ac:dyDescent="0.2">
      <c r="A181" s="7"/>
      <c r="B181" s="118"/>
      <c r="C181" s="19"/>
      <c r="D181" s="19"/>
      <c r="E181" s="82"/>
      <c r="F181" s="82"/>
      <c r="G181" s="9"/>
      <c r="H181" s="93"/>
      <c r="I181" s="47"/>
      <c r="J181" s="20"/>
      <c r="K181" s="20"/>
      <c r="L181" s="20"/>
      <c r="M181" s="20"/>
      <c r="N181" s="20"/>
      <c r="O181" s="20"/>
      <c r="P181" s="20"/>
      <c r="Q181" s="20"/>
      <c r="R181" s="20"/>
      <c r="S181" s="96"/>
      <c r="T181" s="20"/>
      <c r="U181" s="20"/>
      <c r="V181" s="20"/>
      <c r="W181" s="20"/>
      <c r="X181" s="112"/>
      <c r="Y181" s="20"/>
      <c r="Z181" s="20"/>
      <c r="AA181" s="112"/>
      <c r="AB181" s="20"/>
      <c r="AC181" s="20"/>
      <c r="AD181" s="112"/>
      <c r="AE181" s="79"/>
      <c r="AF181" s="79"/>
      <c r="AG181" s="20"/>
      <c r="AH181" s="20"/>
      <c r="AI181" s="20"/>
      <c r="AJ181" s="20"/>
      <c r="AK181" s="20"/>
      <c r="AL181" s="20"/>
      <c r="AM181" s="20"/>
      <c r="AN181" s="254"/>
      <c r="AO181" s="251"/>
      <c r="AP181" s="20"/>
      <c r="AQ181" s="11"/>
      <c r="AR181" s="20"/>
      <c r="AS181" s="20"/>
      <c r="AT181" s="20"/>
      <c r="AU181" s="20"/>
      <c r="AV181" s="20"/>
      <c r="AW181" s="20"/>
      <c r="AX181" s="20"/>
      <c r="AY181" s="96"/>
      <c r="AZ181" s="112"/>
      <c r="BA181" s="11"/>
      <c r="BB181" s="11"/>
      <c r="BC181" s="11"/>
      <c r="BD181" s="20"/>
      <c r="BE181" s="11"/>
      <c r="BF181" s="20"/>
      <c r="BG181" s="20"/>
      <c r="BH181" s="20"/>
      <c r="BI181" s="20"/>
      <c r="BJ181" s="20"/>
      <c r="BK181" s="20"/>
      <c r="BL181" s="20"/>
      <c r="BM181" s="96"/>
      <c r="BN181" s="20"/>
      <c r="BO181" s="11"/>
      <c r="BP181" s="20"/>
      <c r="BQ181" s="20"/>
      <c r="BR181" s="20"/>
      <c r="BS181" s="11"/>
      <c r="BT181" s="11"/>
      <c r="BU181" s="11"/>
      <c r="BV181" s="11"/>
      <c r="BW181" s="20"/>
      <c r="BX181" s="20"/>
      <c r="BY181" s="11"/>
      <c r="BZ181" s="20"/>
      <c r="CA181" s="20"/>
      <c r="CB181" s="20"/>
      <c r="CC181" s="11"/>
      <c r="CD181" s="20"/>
      <c r="CE181" s="20"/>
      <c r="CF181" s="20"/>
      <c r="CG181" s="96"/>
      <c r="CH181" s="112"/>
      <c r="CI181" s="20"/>
      <c r="CJ181" s="11"/>
      <c r="CK181" s="11"/>
      <c r="CL181" s="20"/>
      <c r="CM181" s="20"/>
      <c r="CN181" s="20"/>
      <c r="CO181" s="20"/>
      <c r="CP181" s="20"/>
      <c r="CQ181" s="20"/>
      <c r="CR181" s="112"/>
      <c r="CS181" s="112"/>
      <c r="CT181" s="112"/>
      <c r="CU181" s="112"/>
      <c r="CV181" s="112"/>
      <c r="CW181" s="112"/>
      <c r="CX181" s="20"/>
      <c r="CY181" s="20"/>
      <c r="CZ181" s="20"/>
      <c r="DA181" s="26"/>
      <c r="DB181" s="42"/>
      <c r="DC181" s="43"/>
      <c r="DD181" s="62"/>
      <c r="DE181" s="62"/>
      <c r="DF181" s="4"/>
      <c r="DG181" s="4"/>
      <c r="DH181" s="4"/>
      <c r="DI181" s="4"/>
      <c r="DJ181" s="62"/>
      <c r="DK181" s="62"/>
      <c r="DL181" s="209"/>
      <c r="DM181" s="62"/>
      <c r="DN181" s="13"/>
      <c r="DO181" s="7">
        <v>111</v>
      </c>
      <c r="DP181" s="103"/>
      <c r="DQ181" s="19"/>
      <c r="DR181" s="19"/>
      <c r="DS181" s="123"/>
      <c r="DT181" s="130"/>
      <c r="DU181" s="130"/>
      <c r="DV181" s="130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</row>
    <row r="182" spans="1:137" x14ac:dyDescent="0.2">
      <c r="A182" s="7"/>
      <c r="B182" s="18"/>
      <c r="C182" s="19"/>
      <c r="D182" s="19"/>
      <c r="E182" s="82"/>
      <c r="F182" s="82"/>
      <c r="G182" s="9"/>
      <c r="H182" s="93"/>
      <c r="I182" s="47"/>
      <c r="J182" s="112"/>
      <c r="K182" s="112"/>
      <c r="L182" s="112"/>
      <c r="M182" s="112"/>
      <c r="N182" s="112"/>
      <c r="O182" s="112"/>
      <c r="P182" s="112"/>
      <c r="Q182" s="112"/>
      <c r="R182" s="112"/>
      <c r="S182" s="96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0"/>
      <c r="AF182" s="110"/>
      <c r="AG182" s="112"/>
      <c r="AH182" s="112"/>
      <c r="AI182" s="112"/>
      <c r="AJ182" s="112"/>
      <c r="AK182" s="112"/>
      <c r="AL182" s="112"/>
      <c r="AM182" s="112"/>
      <c r="AN182" s="255"/>
      <c r="AO182" s="251"/>
      <c r="AP182" s="96"/>
      <c r="AQ182" s="96"/>
      <c r="AR182" s="96"/>
      <c r="AS182" s="112"/>
      <c r="AT182" s="96"/>
      <c r="AU182" s="112"/>
      <c r="AV182" s="112"/>
      <c r="AW182" s="112"/>
      <c r="AX182" s="112"/>
      <c r="AY182" s="96"/>
      <c r="AZ182" s="112"/>
      <c r="BA182" s="11"/>
      <c r="BB182" s="11"/>
      <c r="BC182" s="96"/>
      <c r="BD182" s="96"/>
      <c r="BE182" s="96"/>
      <c r="BF182" s="96"/>
      <c r="BG182" s="96"/>
      <c r="BH182" s="112"/>
      <c r="BI182" s="96"/>
      <c r="BJ182" s="112"/>
      <c r="BK182" s="112"/>
      <c r="BL182" s="112"/>
      <c r="BM182" s="96"/>
      <c r="BN182" s="112"/>
      <c r="BO182" s="96"/>
      <c r="BP182" s="112"/>
      <c r="BQ182" s="96"/>
      <c r="BR182" s="112"/>
      <c r="BS182" s="11"/>
      <c r="BT182" s="11"/>
      <c r="BU182" s="11"/>
      <c r="BV182" s="11"/>
      <c r="BW182" s="112"/>
      <c r="BX182" s="112"/>
      <c r="BY182" s="96"/>
      <c r="BZ182" s="112"/>
      <c r="CA182" s="112"/>
      <c r="CB182" s="112"/>
      <c r="CC182" s="96"/>
      <c r="CD182" s="112"/>
      <c r="CE182" s="112"/>
      <c r="CF182" s="112"/>
      <c r="CG182" s="96"/>
      <c r="CH182" s="112"/>
      <c r="CI182" s="112"/>
      <c r="CJ182" s="96"/>
      <c r="CK182" s="96"/>
      <c r="CL182" s="112"/>
      <c r="CM182" s="112"/>
      <c r="CN182" s="96"/>
      <c r="CO182" s="112"/>
      <c r="CP182" s="112"/>
      <c r="CQ182" s="109"/>
      <c r="CR182" s="96"/>
      <c r="CS182" s="112"/>
      <c r="CT182" s="112"/>
      <c r="CU182" s="112"/>
      <c r="CV182" s="112"/>
      <c r="CW182" s="112"/>
      <c r="CX182" s="191"/>
      <c r="CY182" s="191"/>
      <c r="CZ182" s="112"/>
      <c r="DA182" s="26"/>
      <c r="DB182" s="42"/>
      <c r="DC182" s="43"/>
      <c r="DD182" s="62"/>
      <c r="DE182" s="62"/>
      <c r="DF182" s="4"/>
      <c r="DG182" s="4"/>
      <c r="DH182" s="4"/>
      <c r="DI182" s="4"/>
      <c r="DJ182" s="62"/>
      <c r="DK182" s="62"/>
      <c r="DL182" s="209"/>
      <c r="DM182" s="62"/>
      <c r="DN182" s="13"/>
      <c r="DO182" s="7">
        <v>112</v>
      </c>
      <c r="DP182" s="103"/>
      <c r="DQ182" s="19"/>
      <c r="DR182" s="19"/>
      <c r="DS182" s="123"/>
      <c r="DT182" s="130"/>
      <c r="DU182" s="130"/>
      <c r="DV182" s="130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</row>
    <row r="183" spans="1:137" x14ac:dyDescent="0.2">
      <c r="A183" s="7"/>
      <c r="B183" s="190"/>
      <c r="C183" s="19"/>
      <c r="D183" s="19"/>
      <c r="E183" s="82"/>
      <c r="F183" s="82"/>
      <c r="G183" s="9"/>
      <c r="H183" s="93"/>
      <c r="I183" s="47"/>
      <c r="J183" s="20"/>
      <c r="K183" s="20"/>
      <c r="L183" s="20"/>
      <c r="M183" s="20"/>
      <c r="N183" s="20"/>
      <c r="O183" s="20"/>
      <c r="P183" s="20"/>
      <c r="Q183" s="20"/>
      <c r="R183" s="20"/>
      <c r="S183" s="96"/>
      <c r="T183" s="20"/>
      <c r="U183" s="20"/>
      <c r="V183" s="20"/>
      <c r="W183" s="20"/>
      <c r="X183" s="96"/>
      <c r="Y183" s="20"/>
      <c r="Z183" s="20"/>
      <c r="AA183" s="96"/>
      <c r="AB183" s="20"/>
      <c r="AC183" s="20"/>
      <c r="AD183" s="96"/>
      <c r="AE183" s="20"/>
      <c r="AF183" s="94"/>
      <c r="AG183" s="20"/>
      <c r="AH183" s="20"/>
      <c r="AI183" s="20"/>
      <c r="AJ183" s="20"/>
      <c r="AK183" s="20"/>
      <c r="AL183" s="20"/>
      <c r="AM183" s="20"/>
      <c r="AN183" s="254"/>
      <c r="AO183" s="251"/>
      <c r="AP183" s="20"/>
      <c r="AQ183" s="11"/>
      <c r="AR183" s="20"/>
      <c r="AS183" s="20"/>
      <c r="AT183" s="20"/>
      <c r="AU183" s="20"/>
      <c r="AV183" s="20"/>
      <c r="AW183" s="20"/>
      <c r="AX183" s="11"/>
      <c r="AY183" s="96"/>
      <c r="AZ183" s="112"/>
      <c r="BA183" s="11"/>
      <c r="BB183" s="11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96"/>
      <c r="BN183" s="20"/>
      <c r="BO183" s="11"/>
      <c r="BP183" s="20"/>
      <c r="BQ183" s="20"/>
      <c r="BR183" s="20"/>
      <c r="BS183" s="11"/>
      <c r="BT183" s="11"/>
      <c r="BU183" s="11"/>
      <c r="BV183" s="11"/>
      <c r="BW183" s="20"/>
      <c r="BX183" s="20"/>
      <c r="BY183" s="96"/>
      <c r="BZ183" s="20"/>
      <c r="CA183" s="20"/>
      <c r="CB183" s="11"/>
      <c r="CC183" s="11"/>
      <c r="CD183" s="20"/>
      <c r="CE183" s="20"/>
      <c r="CF183" s="20"/>
      <c r="CG183" s="96"/>
      <c r="CH183" s="112"/>
      <c r="CI183" s="20"/>
      <c r="CJ183" s="96"/>
      <c r="CK183" s="96"/>
      <c r="CL183" s="20"/>
      <c r="CM183" s="20"/>
      <c r="CN183" s="11"/>
      <c r="CO183" s="20"/>
      <c r="CP183" s="20"/>
      <c r="CQ183" s="11"/>
      <c r="CR183" s="20"/>
      <c r="CS183" s="20"/>
      <c r="CT183" s="20"/>
      <c r="CU183" s="20"/>
      <c r="CV183" s="20"/>
      <c r="CW183" s="20"/>
      <c r="CX183" s="20"/>
      <c r="CY183" s="20"/>
      <c r="CZ183" s="20"/>
      <c r="DA183" s="26"/>
      <c r="DB183" s="42"/>
      <c r="DC183" s="43"/>
      <c r="DD183" s="62"/>
      <c r="DE183" s="62"/>
      <c r="DF183" s="4"/>
      <c r="DG183" s="4"/>
      <c r="DH183" s="4"/>
      <c r="DI183" s="4"/>
      <c r="DJ183" s="62"/>
      <c r="DK183" s="62"/>
      <c r="DL183" s="209"/>
      <c r="DM183" s="62"/>
      <c r="DN183" s="13"/>
      <c r="DO183" s="7">
        <v>113</v>
      </c>
      <c r="DP183" s="103"/>
      <c r="DQ183" s="19"/>
      <c r="DR183" s="19"/>
      <c r="DS183" s="123"/>
      <c r="DT183" s="130"/>
      <c r="DU183" s="130"/>
      <c r="DV183" s="130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</row>
    <row r="184" spans="1:137" x14ac:dyDescent="0.2">
      <c r="A184" s="7"/>
      <c r="B184" s="18"/>
      <c r="C184" s="19"/>
      <c r="D184" s="19"/>
      <c r="E184" s="82"/>
      <c r="F184" s="82"/>
      <c r="G184" s="9"/>
      <c r="H184" s="93"/>
      <c r="I184" s="47"/>
      <c r="J184" s="20"/>
      <c r="K184" s="20"/>
      <c r="L184" s="20"/>
      <c r="M184" s="20"/>
      <c r="N184" s="20"/>
      <c r="O184" s="20"/>
      <c r="P184" s="20"/>
      <c r="Q184" s="20"/>
      <c r="R184" s="20"/>
      <c r="S184" s="11"/>
      <c r="T184" s="112"/>
      <c r="U184" s="20"/>
      <c r="V184" s="20"/>
      <c r="W184" s="20"/>
      <c r="X184" s="96"/>
      <c r="Y184" s="112"/>
      <c r="Z184" s="112"/>
      <c r="AA184" s="96"/>
      <c r="AB184" s="112"/>
      <c r="AC184" s="112"/>
      <c r="AD184" s="96"/>
      <c r="AE184" s="112"/>
      <c r="AF184" s="113"/>
      <c r="AG184" s="20"/>
      <c r="AH184" s="20"/>
      <c r="AI184" s="20"/>
      <c r="AJ184" s="20"/>
      <c r="AK184" s="20"/>
      <c r="AL184" s="20"/>
      <c r="AM184" s="20"/>
      <c r="AN184" s="254"/>
      <c r="AO184" s="251"/>
      <c r="AP184" s="20"/>
      <c r="AQ184" s="11"/>
      <c r="AR184" s="20"/>
      <c r="AS184" s="20"/>
      <c r="AT184" s="20"/>
      <c r="AU184" s="20"/>
      <c r="AV184" s="20"/>
      <c r="AW184" s="20"/>
      <c r="AX184" s="20"/>
      <c r="AY184" s="11"/>
      <c r="AZ184" s="112"/>
      <c r="BA184" s="11"/>
      <c r="BB184" s="11"/>
      <c r="BC184" s="112"/>
      <c r="BD184" s="20"/>
      <c r="BE184" s="112"/>
      <c r="BF184" s="20"/>
      <c r="BG184" s="20"/>
      <c r="BH184" s="20"/>
      <c r="BI184" s="20"/>
      <c r="BJ184" s="20"/>
      <c r="BK184" s="20"/>
      <c r="BL184" s="20"/>
      <c r="BM184" s="11"/>
      <c r="BN184" s="112"/>
      <c r="BO184" s="11"/>
      <c r="BP184" s="20"/>
      <c r="BQ184" s="20"/>
      <c r="BR184" s="20"/>
      <c r="BS184" s="11"/>
      <c r="BT184" s="11"/>
      <c r="BU184" s="11"/>
      <c r="BV184" s="11"/>
      <c r="BW184" s="112"/>
      <c r="BX184" s="20"/>
      <c r="BY184" s="11"/>
      <c r="BZ184" s="20"/>
      <c r="CA184" s="20"/>
      <c r="CB184" s="20"/>
      <c r="CC184" s="20"/>
      <c r="CD184" s="11"/>
      <c r="CE184" s="11"/>
      <c r="CF184" s="11"/>
      <c r="CG184" s="96"/>
      <c r="CH184" s="20"/>
      <c r="CI184" s="20"/>
      <c r="CJ184" s="11"/>
      <c r="CK184" s="11"/>
      <c r="CL184" s="20"/>
      <c r="CM184" s="11"/>
      <c r="CN184" s="20"/>
      <c r="CO184" s="20"/>
      <c r="CP184" s="20"/>
      <c r="CQ184" s="11"/>
      <c r="CR184" s="20"/>
      <c r="CS184" s="20"/>
      <c r="CT184" s="20"/>
      <c r="CU184" s="20"/>
      <c r="CV184" s="20"/>
      <c r="CW184" s="20"/>
      <c r="CX184" s="112"/>
      <c r="CY184" s="112"/>
      <c r="CZ184" s="20"/>
      <c r="DA184" s="26"/>
      <c r="DB184" s="42"/>
      <c r="DC184" s="43"/>
      <c r="DD184" s="62"/>
      <c r="DE184" s="62"/>
      <c r="DF184" s="4"/>
      <c r="DG184" s="4"/>
      <c r="DH184" s="4"/>
      <c r="DI184" s="4"/>
      <c r="DJ184" s="62"/>
      <c r="DK184" s="62"/>
      <c r="DL184" s="209"/>
      <c r="DM184" s="62"/>
      <c r="DN184" s="13"/>
      <c r="DO184" s="7">
        <v>114</v>
      </c>
      <c r="DP184" s="103"/>
      <c r="DQ184" s="19"/>
      <c r="DR184" s="19"/>
      <c r="DS184" s="123"/>
      <c r="DT184" s="130"/>
      <c r="DU184" s="130"/>
      <c r="DV184" s="130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</row>
    <row r="185" spans="1:137" x14ac:dyDescent="0.2">
      <c r="A185" s="7"/>
      <c r="B185" s="190"/>
      <c r="C185" s="19"/>
      <c r="D185" s="19"/>
      <c r="E185" s="82"/>
      <c r="F185" s="82"/>
      <c r="G185" s="9"/>
      <c r="H185" s="93"/>
      <c r="I185" s="47"/>
      <c r="J185" s="20"/>
      <c r="K185" s="20"/>
      <c r="L185" s="20"/>
      <c r="M185" s="20"/>
      <c r="N185" s="20"/>
      <c r="O185" s="20"/>
      <c r="P185" s="20"/>
      <c r="Q185" s="20"/>
      <c r="R185" s="20"/>
      <c r="S185" s="11"/>
      <c r="T185" s="112"/>
      <c r="U185" s="20"/>
      <c r="V185" s="20"/>
      <c r="W185" s="20"/>
      <c r="X185" s="96"/>
      <c r="Y185" s="112"/>
      <c r="Z185" s="112"/>
      <c r="AA185" s="96"/>
      <c r="AB185" s="112"/>
      <c r="AC185" s="112"/>
      <c r="AD185" s="96"/>
      <c r="AE185" s="112"/>
      <c r="AF185" s="113"/>
      <c r="AG185" s="20"/>
      <c r="AH185" s="20"/>
      <c r="AI185" s="20"/>
      <c r="AJ185" s="20"/>
      <c r="AK185" s="20"/>
      <c r="AL185" s="20"/>
      <c r="AM185" s="20"/>
      <c r="AN185" s="254"/>
      <c r="AO185" s="251"/>
      <c r="AP185" s="20"/>
      <c r="AQ185" s="11"/>
      <c r="AR185" s="20"/>
      <c r="AS185" s="20"/>
      <c r="AT185" s="20"/>
      <c r="AU185" s="20"/>
      <c r="AV185" s="20"/>
      <c r="AW185" s="20"/>
      <c r="AX185" s="112"/>
      <c r="AY185" s="11"/>
      <c r="AZ185" s="112"/>
      <c r="BA185" s="11"/>
      <c r="BB185" s="11"/>
      <c r="BC185" s="112"/>
      <c r="BD185" s="20"/>
      <c r="BE185" s="112"/>
      <c r="BF185" s="20"/>
      <c r="BG185" s="20"/>
      <c r="BH185" s="20"/>
      <c r="BI185" s="20"/>
      <c r="BJ185" s="20"/>
      <c r="BK185" s="20"/>
      <c r="BL185" s="20"/>
      <c r="BM185" s="11"/>
      <c r="BN185" s="112"/>
      <c r="BO185" s="11"/>
      <c r="BP185" s="20"/>
      <c r="BQ185" s="20"/>
      <c r="BR185" s="20"/>
      <c r="BS185" s="11"/>
      <c r="BT185" s="11"/>
      <c r="BU185" s="11"/>
      <c r="BV185" s="11"/>
      <c r="BW185" s="112"/>
      <c r="BX185" s="20"/>
      <c r="BY185" s="11"/>
      <c r="BZ185" s="20"/>
      <c r="CA185" s="20"/>
      <c r="CB185" s="11"/>
      <c r="CC185" s="20"/>
      <c r="CD185" s="20"/>
      <c r="CE185" s="20"/>
      <c r="CF185" s="20"/>
      <c r="CG185" s="96"/>
      <c r="CH185" s="20"/>
      <c r="CI185" s="20"/>
      <c r="CJ185" s="11"/>
      <c r="CK185" s="11"/>
      <c r="CL185" s="20"/>
      <c r="CM185" s="11"/>
      <c r="CN185" s="11"/>
      <c r="CO185" s="20"/>
      <c r="CP185" s="20"/>
      <c r="CQ185" s="11"/>
      <c r="CR185" s="20"/>
      <c r="CS185" s="20"/>
      <c r="CT185" s="20"/>
      <c r="CU185" s="20"/>
      <c r="CV185" s="20"/>
      <c r="CW185" s="20"/>
      <c r="CX185" s="112"/>
      <c r="CY185" s="112"/>
      <c r="CZ185" s="20"/>
      <c r="DA185" s="26"/>
      <c r="DB185" s="42"/>
      <c r="DC185" s="43"/>
      <c r="DD185" s="62"/>
      <c r="DE185" s="62"/>
      <c r="DF185" s="4"/>
      <c r="DG185" s="4"/>
      <c r="DH185" s="4"/>
      <c r="DI185" s="4"/>
      <c r="DJ185" s="62"/>
      <c r="DK185" s="62"/>
      <c r="DL185" s="209"/>
      <c r="DM185" s="62"/>
      <c r="DN185" s="13"/>
      <c r="DO185" s="7">
        <v>115</v>
      </c>
      <c r="DP185" s="35"/>
      <c r="DQ185" s="19"/>
      <c r="DR185" s="19"/>
      <c r="DS185" s="123"/>
      <c r="DT185" s="130"/>
      <c r="DU185" s="130"/>
      <c r="DV185" s="130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</row>
    <row r="186" spans="1:137" x14ac:dyDescent="0.2">
      <c r="A186" s="7"/>
      <c r="B186" s="190"/>
      <c r="C186" s="19"/>
      <c r="D186" s="19"/>
      <c r="E186" s="82"/>
      <c r="F186" s="82"/>
      <c r="G186" s="9"/>
      <c r="H186" s="93"/>
      <c r="I186" s="47"/>
      <c r="J186" s="20"/>
      <c r="K186" s="20"/>
      <c r="L186" s="20"/>
      <c r="M186" s="20"/>
      <c r="N186" s="20"/>
      <c r="O186" s="20"/>
      <c r="P186" s="20"/>
      <c r="Q186" s="20"/>
      <c r="R186" s="20"/>
      <c r="S186" s="11"/>
      <c r="T186" s="112"/>
      <c r="U186" s="20"/>
      <c r="V186" s="20"/>
      <c r="W186" s="20"/>
      <c r="X186" s="96"/>
      <c r="Y186" s="112"/>
      <c r="Z186" s="112"/>
      <c r="AA186" s="96"/>
      <c r="AB186" s="112"/>
      <c r="AC186" s="112"/>
      <c r="AD186" s="96"/>
      <c r="AE186" s="112"/>
      <c r="AF186" s="113"/>
      <c r="AG186" s="20"/>
      <c r="AH186" s="20"/>
      <c r="AI186" s="20"/>
      <c r="AJ186" s="20"/>
      <c r="AK186" s="20"/>
      <c r="AL186" s="20"/>
      <c r="AM186" s="20"/>
      <c r="AN186" s="254"/>
      <c r="AO186" s="251"/>
      <c r="AP186" s="20"/>
      <c r="AQ186" s="11"/>
      <c r="AR186" s="20"/>
      <c r="AS186" s="20"/>
      <c r="AT186" s="20"/>
      <c r="AU186" s="20"/>
      <c r="AV186" s="20"/>
      <c r="AW186" s="20"/>
      <c r="AX186" s="112"/>
      <c r="AY186" s="96"/>
      <c r="AZ186" s="112"/>
      <c r="BA186" s="11"/>
      <c r="BB186" s="11"/>
      <c r="BC186" s="112"/>
      <c r="BD186" s="20"/>
      <c r="BE186" s="112"/>
      <c r="BF186" s="20"/>
      <c r="BG186" s="20"/>
      <c r="BH186" s="20"/>
      <c r="BI186" s="20"/>
      <c r="BJ186" s="20"/>
      <c r="BK186" s="20"/>
      <c r="BL186" s="20"/>
      <c r="BM186" s="11"/>
      <c r="BN186" s="20"/>
      <c r="BO186" s="11"/>
      <c r="BP186" s="20"/>
      <c r="BQ186" s="20"/>
      <c r="BR186" s="20"/>
      <c r="BS186" s="11"/>
      <c r="BT186" s="11"/>
      <c r="BU186" s="11"/>
      <c r="BV186" s="11"/>
      <c r="BW186" s="112"/>
      <c r="BX186" s="20"/>
      <c r="BY186" s="11"/>
      <c r="BZ186" s="20"/>
      <c r="CA186" s="20"/>
      <c r="CB186" s="20"/>
      <c r="CC186" s="20"/>
      <c r="CD186" s="20"/>
      <c r="CE186" s="20"/>
      <c r="CF186" s="20"/>
      <c r="CG186" s="96"/>
      <c r="CH186" s="20"/>
      <c r="CI186" s="20"/>
      <c r="CJ186" s="11"/>
      <c r="CK186" s="11"/>
      <c r="CL186" s="20"/>
      <c r="CM186" s="11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112"/>
      <c r="CY186" s="112"/>
      <c r="CZ186" s="20"/>
      <c r="DA186" s="26"/>
      <c r="DB186" s="42"/>
      <c r="DC186" s="43"/>
      <c r="DD186" s="62"/>
      <c r="DE186" s="62"/>
      <c r="DF186" s="4"/>
      <c r="DG186" s="4"/>
      <c r="DH186" s="4"/>
      <c r="DI186" s="4"/>
      <c r="DJ186" s="62"/>
      <c r="DK186" s="62"/>
      <c r="DL186" s="209"/>
      <c r="DM186" s="62"/>
      <c r="DN186" s="13"/>
      <c r="DO186" s="7">
        <v>116</v>
      </c>
      <c r="DP186" s="18"/>
      <c r="DQ186" s="19"/>
      <c r="DR186" s="19"/>
      <c r="DS186" s="123"/>
      <c r="DT186" s="130"/>
      <c r="DU186" s="130"/>
      <c r="DV186" s="130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</row>
    <row r="187" spans="1:137" x14ac:dyDescent="0.2">
      <c r="A187" s="7"/>
      <c r="B187" s="103"/>
      <c r="C187" s="19"/>
      <c r="D187" s="19"/>
      <c r="E187" s="82"/>
      <c r="F187" s="82"/>
      <c r="G187" s="9"/>
      <c r="H187" s="93"/>
      <c r="I187" s="47"/>
      <c r="J187" s="20"/>
      <c r="K187" s="112"/>
      <c r="L187" s="112"/>
      <c r="M187" s="112"/>
      <c r="N187" s="112"/>
      <c r="O187" s="112"/>
      <c r="P187" s="112"/>
      <c r="Q187" s="112"/>
      <c r="R187" s="112"/>
      <c r="S187" s="96"/>
      <c r="T187" s="112"/>
      <c r="U187" s="112"/>
      <c r="V187" s="112"/>
      <c r="W187" s="112"/>
      <c r="X187" s="96"/>
      <c r="Y187" s="112"/>
      <c r="Z187" s="112"/>
      <c r="AA187" s="96"/>
      <c r="AB187" s="112"/>
      <c r="AC187" s="112"/>
      <c r="AD187" s="96"/>
      <c r="AE187" s="112"/>
      <c r="AF187" s="113"/>
      <c r="AG187" s="112"/>
      <c r="AH187" s="112"/>
      <c r="AI187" s="112"/>
      <c r="AJ187" s="112"/>
      <c r="AK187" s="112"/>
      <c r="AL187" s="112"/>
      <c r="AM187" s="112"/>
      <c r="AN187" s="255"/>
      <c r="AO187" s="251"/>
      <c r="AP187" s="112"/>
      <c r="AQ187" s="96"/>
      <c r="AR187" s="112"/>
      <c r="AS187" s="112"/>
      <c r="AT187" s="112"/>
      <c r="AU187" s="112"/>
      <c r="AV187" s="96"/>
      <c r="AW187" s="112"/>
      <c r="AX187" s="112"/>
      <c r="AY187" s="96"/>
      <c r="AZ187" s="112"/>
      <c r="BA187" s="11"/>
      <c r="BB187" s="11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BM187" s="96"/>
      <c r="BN187" s="112"/>
      <c r="BO187" s="96"/>
      <c r="BP187" s="112"/>
      <c r="BQ187" s="112"/>
      <c r="BR187" s="112"/>
      <c r="BS187" s="11"/>
      <c r="BT187" s="11"/>
      <c r="BU187" s="11"/>
      <c r="BV187" s="11"/>
      <c r="BW187" s="112"/>
      <c r="BX187" s="96"/>
      <c r="BY187" s="96"/>
      <c r="BZ187" s="112"/>
      <c r="CA187" s="112"/>
      <c r="CB187" s="112"/>
      <c r="CC187" s="112"/>
      <c r="CD187" s="112"/>
      <c r="CE187" s="112"/>
      <c r="CF187" s="112"/>
      <c r="CG187" s="96"/>
      <c r="CH187" s="112"/>
      <c r="CI187" s="112"/>
      <c r="CJ187" s="96"/>
      <c r="CK187" s="96"/>
      <c r="CL187" s="112"/>
      <c r="CM187" s="96"/>
      <c r="CN187" s="112"/>
      <c r="CO187" s="112"/>
      <c r="CP187" s="112"/>
      <c r="CQ187" s="112"/>
      <c r="CR187" s="112"/>
      <c r="CS187" s="112"/>
      <c r="CT187" s="112"/>
      <c r="CU187" s="112"/>
      <c r="CV187" s="112"/>
      <c r="CW187" s="112"/>
      <c r="CX187" s="112"/>
      <c r="CY187" s="112"/>
      <c r="CZ187" s="112"/>
      <c r="DA187" s="26"/>
      <c r="DB187" s="42"/>
      <c r="DC187" s="43"/>
      <c r="DD187" s="62"/>
      <c r="DE187" s="62"/>
      <c r="DF187" s="4"/>
      <c r="DG187" s="4"/>
      <c r="DH187" s="4"/>
      <c r="DI187" s="4"/>
      <c r="DJ187" s="62"/>
      <c r="DK187" s="62"/>
      <c r="DL187" s="209"/>
      <c r="DM187" s="62"/>
      <c r="DN187" s="13"/>
      <c r="DO187" s="7">
        <v>117</v>
      </c>
      <c r="DP187" s="18"/>
      <c r="DQ187" s="19"/>
      <c r="DR187" s="19"/>
      <c r="DS187" s="123"/>
      <c r="DT187" s="130"/>
      <c r="DU187" s="130"/>
      <c r="DV187" s="130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</row>
    <row r="188" spans="1:137" x14ac:dyDescent="0.2">
      <c r="A188" s="7"/>
      <c r="B188" s="18"/>
      <c r="C188" s="19"/>
      <c r="D188" s="19"/>
      <c r="E188" s="82"/>
      <c r="F188" s="82"/>
      <c r="G188" s="9"/>
      <c r="H188" s="93"/>
      <c r="I188" s="47"/>
      <c r="J188" s="20"/>
      <c r="K188" s="112"/>
      <c r="L188" s="112"/>
      <c r="M188" s="112"/>
      <c r="N188" s="112"/>
      <c r="O188" s="112"/>
      <c r="P188" s="112"/>
      <c r="Q188" s="112"/>
      <c r="R188" s="112"/>
      <c r="S188" s="96"/>
      <c r="T188" s="112"/>
      <c r="U188" s="112"/>
      <c r="V188" s="112"/>
      <c r="W188" s="112"/>
      <c r="X188" s="96"/>
      <c r="Y188" s="112"/>
      <c r="Z188" s="112"/>
      <c r="AA188" s="96"/>
      <c r="AB188" s="112"/>
      <c r="AC188" s="112"/>
      <c r="AD188" s="96"/>
      <c r="AE188" s="112"/>
      <c r="AF188" s="113"/>
      <c r="AG188" s="112"/>
      <c r="AH188" s="112"/>
      <c r="AI188" s="112"/>
      <c r="AJ188" s="112"/>
      <c r="AK188" s="112"/>
      <c r="AL188" s="112"/>
      <c r="AM188" s="112"/>
      <c r="AN188" s="255"/>
      <c r="AO188" s="251"/>
      <c r="AP188" s="112"/>
      <c r="AQ188" s="96"/>
      <c r="AR188" s="112"/>
      <c r="AS188" s="96"/>
      <c r="AT188" s="112"/>
      <c r="AU188" s="96"/>
      <c r="AV188" s="112"/>
      <c r="AW188" s="112"/>
      <c r="AX188" s="112"/>
      <c r="AY188" s="96"/>
      <c r="AZ188" s="112"/>
      <c r="BA188" s="11"/>
      <c r="BB188" s="11"/>
      <c r="BC188" s="112"/>
      <c r="BD188" s="112"/>
      <c r="BE188" s="112"/>
      <c r="BF188" s="112"/>
      <c r="BG188" s="112"/>
      <c r="BH188" s="112"/>
      <c r="BI188" s="112"/>
      <c r="BJ188" s="112"/>
      <c r="BK188" s="112"/>
      <c r="BL188" s="112"/>
      <c r="BM188" s="96"/>
      <c r="BN188" s="112"/>
      <c r="BO188" s="96"/>
      <c r="BP188" s="112"/>
      <c r="BQ188" s="112"/>
      <c r="BR188" s="112"/>
      <c r="BS188" s="11"/>
      <c r="BT188" s="11"/>
      <c r="BU188" s="11"/>
      <c r="BV188" s="11"/>
      <c r="BW188" s="112"/>
      <c r="BX188" s="112"/>
      <c r="BY188" s="96"/>
      <c r="BZ188" s="96"/>
      <c r="CA188" s="112"/>
      <c r="CB188" s="112"/>
      <c r="CC188" s="112"/>
      <c r="CD188" s="112"/>
      <c r="CE188" s="112"/>
      <c r="CF188" s="112"/>
      <c r="CG188" s="96"/>
      <c r="CH188" s="112"/>
      <c r="CI188" s="112"/>
      <c r="CJ188" s="96"/>
      <c r="CK188" s="96"/>
      <c r="CL188" s="112"/>
      <c r="CM188" s="96"/>
      <c r="CN188" s="112"/>
      <c r="CO188" s="112"/>
      <c r="CP188" s="112"/>
      <c r="CQ188" s="112"/>
      <c r="CR188" s="112"/>
      <c r="CS188" s="112"/>
      <c r="CT188" s="112"/>
      <c r="CU188" s="112"/>
      <c r="CV188" s="112"/>
      <c r="CW188" s="112"/>
      <c r="CX188" s="112"/>
      <c r="CY188" s="112"/>
      <c r="CZ188" s="112"/>
      <c r="DA188" s="26"/>
      <c r="DB188" s="42"/>
      <c r="DC188" s="43"/>
      <c r="DD188" s="62"/>
      <c r="DE188" s="62"/>
      <c r="DF188" s="4"/>
      <c r="DG188" s="4"/>
      <c r="DH188" s="4"/>
      <c r="DI188" s="4"/>
      <c r="DJ188" s="62"/>
      <c r="DK188" s="62"/>
      <c r="DL188" s="209"/>
      <c r="DM188" s="62"/>
      <c r="DN188" s="13"/>
      <c r="DO188" s="7">
        <v>118</v>
      </c>
      <c r="DP188" s="103"/>
      <c r="DQ188" s="19"/>
      <c r="DR188" s="19"/>
      <c r="DS188" s="123"/>
      <c r="DT188" s="130"/>
      <c r="DU188" s="130"/>
      <c r="DV188" s="130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</row>
    <row r="189" spans="1:137" x14ac:dyDescent="0.2">
      <c r="A189" s="7"/>
      <c r="B189" s="118"/>
      <c r="C189" s="19"/>
      <c r="D189" s="19"/>
      <c r="E189" s="82"/>
      <c r="F189" s="82"/>
      <c r="G189" s="9"/>
      <c r="H189" s="93"/>
      <c r="I189" s="47"/>
      <c r="J189" s="20"/>
      <c r="K189" s="20"/>
      <c r="L189" s="20"/>
      <c r="M189" s="20"/>
      <c r="N189" s="20"/>
      <c r="O189" s="20"/>
      <c r="P189" s="20"/>
      <c r="Q189" s="20"/>
      <c r="R189" s="20"/>
      <c r="S189" s="96"/>
      <c r="T189" s="20"/>
      <c r="U189" s="20"/>
      <c r="V189" s="20"/>
      <c r="W189" s="20"/>
      <c r="X189" s="96"/>
      <c r="Y189" s="20"/>
      <c r="Z189" s="20"/>
      <c r="AA189" s="96"/>
      <c r="AB189" s="20"/>
      <c r="AC189" s="20"/>
      <c r="AD189" s="96"/>
      <c r="AE189" s="20"/>
      <c r="AF189" s="94"/>
      <c r="AG189" s="20"/>
      <c r="AH189" s="20"/>
      <c r="AI189" s="20"/>
      <c r="AJ189" s="20"/>
      <c r="AK189" s="20"/>
      <c r="AL189" s="20"/>
      <c r="AM189" s="20"/>
      <c r="AN189" s="254"/>
      <c r="AO189" s="251"/>
      <c r="AP189" s="20"/>
      <c r="AQ189" s="11"/>
      <c r="AR189" s="20"/>
      <c r="AS189" s="11"/>
      <c r="AT189" s="20"/>
      <c r="AU189" s="11"/>
      <c r="AV189" s="20"/>
      <c r="AW189" s="20"/>
      <c r="AX189" s="20"/>
      <c r="AY189" s="96"/>
      <c r="AZ189" s="112"/>
      <c r="BA189" s="11"/>
      <c r="BB189" s="11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96"/>
      <c r="BN189" s="20"/>
      <c r="BO189" s="11"/>
      <c r="BP189" s="20"/>
      <c r="BQ189" s="20"/>
      <c r="BR189" s="20"/>
      <c r="BS189" s="11"/>
      <c r="BT189" s="11"/>
      <c r="BU189" s="11"/>
      <c r="BV189" s="11"/>
      <c r="BW189" s="20"/>
      <c r="BX189" s="20"/>
      <c r="BY189" s="96"/>
      <c r="BZ189" s="20"/>
      <c r="CA189" s="20"/>
      <c r="CB189" s="20"/>
      <c r="CC189" s="20"/>
      <c r="CD189" s="20"/>
      <c r="CE189" s="20"/>
      <c r="CF189" s="20"/>
      <c r="CG189" s="96"/>
      <c r="CH189" s="20"/>
      <c r="CI189" s="20"/>
      <c r="CJ189" s="96"/>
      <c r="CK189" s="96"/>
      <c r="CL189" s="20"/>
      <c r="CM189" s="11"/>
      <c r="CN189" s="112"/>
      <c r="CO189" s="112"/>
      <c r="CP189" s="112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6"/>
      <c r="DB189" s="42"/>
      <c r="DC189" s="43"/>
      <c r="DD189" s="62"/>
      <c r="DE189" s="62"/>
      <c r="DF189" s="4"/>
      <c r="DG189" s="4"/>
      <c r="DH189" s="4"/>
      <c r="DI189" s="4"/>
      <c r="DJ189" s="62"/>
      <c r="DK189" s="62"/>
      <c r="DL189" s="209"/>
      <c r="DM189" s="62"/>
      <c r="DN189" s="13"/>
      <c r="DO189" s="7">
        <v>119</v>
      </c>
      <c r="DP189" s="103"/>
      <c r="DQ189" s="19"/>
      <c r="DR189" s="19"/>
      <c r="DS189" s="123"/>
      <c r="DT189" s="130"/>
      <c r="DU189" s="130"/>
      <c r="DV189" s="132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</row>
    <row r="190" spans="1:137" x14ac:dyDescent="0.2">
      <c r="A190" s="7"/>
      <c r="B190" s="103"/>
      <c r="C190" s="19"/>
      <c r="D190" s="19"/>
      <c r="E190" s="82"/>
      <c r="F190" s="82"/>
      <c r="G190" s="9"/>
      <c r="H190" s="93"/>
      <c r="I190" s="47"/>
      <c r="J190" s="20"/>
      <c r="K190" s="112"/>
      <c r="L190" s="112"/>
      <c r="M190" s="112"/>
      <c r="N190" s="112"/>
      <c r="O190" s="112"/>
      <c r="P190" s="112"/>
      <c r="Q190" s="112"/>
      <c r="R190" s="112"/>
      <c r="S190" s="96"/>
      <c r="T190" s="112"/>
      <c r="U190" s="112"/>
      <c r="V190" s="112"/>
      <c r="W190" s="112"/>
      <c r="X190" s="96"/>
      <c r="Y190" s="112"/>
      <c r="Z190" s="112"/>
      <c r="AA190" s="96"/>
      <c r="AB190" s="112"/>
      <c r="AC190" s="112"/>
      <c r="AD190" s="96"/>
      <c r="AE190" s="112"/>
      <c r="AF190" s="113"/>
      <c r="AG190" s="112"/>
      <c r="AH190" s="112"/>
      <c r="AI190" s="112"/>
      <c r="AJ190" s="112"/>
      <c r="AK190" s="112"/>
      <c r="AL190" s="112"/>
      <c r="AM190" s="112"/>
      <c r="AN190" s="255"/>
      <c r="AO190" s="251"/>
      <c r="AP190" s="112"/>
      <c r="AQ190" s="96"/>
      <c r="AR190" s="112"/>
      <c r="AS190" s="112"/>
      <c r="AT190" s="112"/>
      <c r="AU190" s="112"/>
      <c r="AV190" s="112"/>
      <c r="AW190" s="112"/>
      <c r="AX190" s="112"/>
      <c r="AY190" s="96"/>
      <c r="AZ190" s="96"/>
      <c r="BA190" s="11"/>
      <c r="BB190" s="11"/>
      <c r="BC190" s="20"/>
      <c r="BD190" s="112"/>
      <c r="BE190" s="20"/>
      <c r="BF190" s="112"/>
      <c r="BG190" s="20"/>
      <c r="BH190" s="112"/>
      <c r="BI190" s="112"/>
      <c r="BJ190" s="112"/>
      <c r="BK190" s="112"/>
      <c r="BL190" s="20"/>
      <c r="BM190" s="11"/>
      <c r="BN190" s="112"/>
      <c r="BO190" s="96"/>
      <c r="BP190" s="112"/>
      <c r="BQ190" s="112"/>
      <c r="BR190" s="112"/>
      <c r="BS190" s="11"/>
      <c r="BT190" s="11"/>
      <c r="BU190" s="11"/>
      <c r="BV190" s="11"/>
      <c r="BW190" s="112"/>
      <c r="BX190" s="112"/>
      <c r="BY190" s="96"/>
      <c r="BZ190" s="112"/>
      <c r="CA190" s="112"/>
      <c r="CB190" s="112"/>
      <c r="CC190" s="112"/>
      <c r="CD190" s="112"/>
      <c r="CE190" s="112"/>
      <c r="CF190" s="112"/>
      <c r="CG190" s="96"/>
      <c r="CH190" s="112"/>
      <c r="CI190" s="112"/>
      <c r="CJ190" s="96"/>
      <c r="CK190" s="96"/>
      <c r="CL190" s="112"/>
      <c r="CM190" s="96"/>
      <c r="CN190" s="112"/>
      <c r="CO190" s="112"/>
      <c r="CP190" s="112"/>
      <c r="CQ190" s="112"/>
      <c r="CR190" s="112"/>
      <c r="CS190" s="112"/>
      <c r="CT190" s="112"/>
      <c r="CU190" s="112"/>
      <c r="CV190" s="112"/>
      <c r="CW190" s="112"/>
      <c r="CX190" s="112"/>
      <c r="CY190" s="112"/>
      <c r="CZ190" s="112"/>
      <c r="DA190" s="26"/>
      <c r="DB190" s="42"/>
      <c r="DC190" s="43"/>
      <c r="DD190" s="62"/>
      <c r="DE190" s="62"/>
      <c r="DF190" s="4"/>
      <c r="DG190" s="4"/>
      <c r="DH190" s="4"/>
      <c r="DI190" s="4"/>
      <c r="DJ190" s="62"/>
      <c r="DK190" s="62"/>
      <c r="DL190" s="209"/>
      <c r="DM190" s="62"/>
      <c r="DN190" s="13"/>
      <c r="DO190" s="7">
        <v>120</v>
      </c>
      <c r="DP190" s="103"/>
      <c r="DQ190" s="19"/>
      <c r="DR190" s="19"/>
      <c r="DS190" s="123"/>
      <c r="DT190" s="130"/>
      <c r="DU190" s="130"/>
      <c r="DV190" s="130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</row>
    <row r="191" spans="1:137" x14ac:dyDescent="0.2">
      <c r="A191" s="7"/>
      <c r="B191" s="118"/>
      <c r="C191" s="19"/>
      <c r="D191" s="19"/>
      <c r="E191" s="82"/>
      <c r="F191" s="82"/>
      <c r="G191" s="9"/>
      <c r="H191" s="93"/>
      <c r="I191" s="47"/>
      <c r="J191" s="20"/>
      <c r="K191" s="20"/>
      <c r="L191" s="20"/>
      <c r="M191" s="20"/>
      <c r="N191" s="20"/>
      <c r="O191" s="20"/>
      <c r="P191" s="20"/>
      <c r="Q191" s="20"/>
      <c r="R191" s="20"/>
      <c r="S191" s="96"/>
      <c r="T191" s="20"/>
      <c r="U191" s="20"/>
      <c r="V191" s="20"/>
      <c r="W191" s="20"/>
      <c r="X191" s="96"/>
      <c r="Y191" s="20"/>
      <c r="Z191" s="20"/>
      <c r="AA191" s="96"/>
      <c r="AB191" s="20"/>
      <c r="AC191" s="20"/>
      <c r="AD191" s="96"/>
      <c r="AE191" s="20"/>
      <c r="AF191" s="94"/>
      <c r="AG191" s="20"/>
      <c r="AH191" s="20"/>
      <c r="AI191" s="20"/>
      <c r="AJ191" s="20"/>
      <c r="AK191" s="20"/>
      <c r="AL191" s="20"/>
      <c r="AM191" s="20"/>
      <c r="AN191" s="254"/>
      <c r="AO191" s="251"/>
      <c r="AP191" s="20"/>
      <c r="AQ191" s="11"/>
      <c r="AR191" s="20"/>
      <c r="AS191" s="20"/>
      <c r="AT191" s="20"/>
      <c r="AU191" s="20"/>
      <c r="AV191" s="20"/>
      <c r="AW191" s="20"/>
      <c r="AX191" s="20"/>
      <c r="AY191" s="96"/>
      <c r="AZ191" s="96"/>
      <c r="BA191" s="11"/>
      <c r="BB191" s="11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96"/>
      <c r="BN191" s="20"/>
      <c r="BO191" s="11"/>
      <c r="BP191" s="20"/>
      <c r="BQ191" s="20"/>
      <c r="BR191" s="20"/>
      <c r="BS191" s="11"/>
      <c r="BT191" s="11"/>
      <c r="BU191" s="11"/>
      <c r="BV191" s="11"/>
      <c r="BW191" s="20"/>
      <c r="BX191" s="20"/>
      <c r="BY191" s="11"/>
      <c r="BZ191" s="20"/>
      <c r="CA191" s="20"/>
      <c r="CB191" s="20"/>
      <c r="CC191" s="20"/>
      <c r="CD191" s="20"/>
      <c r="CE191" s="20"/>
      <c r="CF191" s="20"/>
      <c r="CG191" s="96"/>
      <c r="CH191" s="112"/>
      <c r="CI191" s="20"/>
      <c r="CJ191" s="11"/>
      <c r="CK191" s="11"/>
      <c r="CL191" s="20"/>
      <c r="CM191" s="11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6"/>
      <c r="DB191" s="42"/>
      <c r="DC191" s="43"/>
      <c r="DD191" s="62"/>
      <c r="DE191" s="62"/>
      <c r="DF191" s="4"/>
      <c r="DG191" s="4"/>
      <c r="DH191" s="4"/>
      <c r="DI191" s="4"/>
      <c r="DJ191" s="62"/>
      <c r="DK191" s="62"/>
      <c r="DL191" s="209"/>
      <c r="DM191" s="62"/>
      <c r="DN191" s="13"/>
      <c r="DO191" s="7">
        <v>121</v>
      </c>
      <c r="DP191" s="103"/>
      <c r="DQ191" s="19"/>
      <c r="DR191" s="19"/>
      <c r="DS191" s="123"/>
      <c r="DT191" s="130"/>
      <c r="DU191" s="130"/>
      <c r="DV191" s="132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</row>
    <row r="192" spans="1:137" x14ac:dyDescent="0.2">
      <c r="A192" s="7"/>
      <c r="B192" s="103"/>
      <c r="C192" s="19"/>
      <c r="D192" s="19"/>
      <c r="E192" s="82"/>
      <c r="F192" s="82"/>
      <c r="G192" s="9"/>
      <c r="H192" s="93"/>
      <c r="I192" s="47"/>
      <c r="J192" s="20"/>
      <c r="K192" s="112"/>
      <c r="L192" s="112"/>
      <c r="M192" s="112"/>
      <c r="N192" s="112"/>
      <c r="O192" s="112"/>
      <c r="P192" s="112"/>
      <c r="Q192" s="112"/>
      <c r="R192" s="112"/>
      <c r="S192" s="96"/>
      <c r="T192" s="112"/>
      <c r="U192" s="112"/>
      <c r="V192" s="112"/>
      <c r="W192" s="112"/>
      <c r="X192" s="96"/>
      <c r="Y192" s="112"/>
      <c r="Z192" s="112"/>
      <c r="AA192" s="96"/>
      <c r="AB192" s="112"/>
      <c r="AC192" s="112"/>
      <c r="AD192" s="96"/>
      <c r="AE192" s="112"/>
      <c r="AF192" s="113"/>
      <c r="AG192" s="112"/>
      <c r="AH192" s="112"/>
      <c r="AI192" s="112"/>
      <c r="AJ192" s="112"/>
      <c r="AK192" s="112"/>
      <c r="AL192" s="112"/>
      <c r="AM192" s="112"/>
      <c r="AN192" s="255"/>
      <c r="AO192" s="251"/>
      <c r="AP192" s="112"/>
      <c r="AQ192" s="96"/>
      <c r="AR192" s="112"/>
      <c r="AS192" s="112"/>
      <c r="AT192" s="112"/>
      <c r="AU192" s="112"/>
      <c r="AV192" s="112"/>
      <c r="AW192" s="112"/>
      <c r="AX192" s="112"/>
      <c r="AY192" s="96"/>
      <c r="AZ192" s="96"/>
      <c r="BA192" s="11"/>
      <c r="BB192" s="11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96"/>
      <c r="BN192" s="112"/>
      <c r="BO192" s="96"/>
      <c r="BP192" s="112"/>
      <c r="BQ192" s="112"/>
      <c r="BR192" s="112"/>
      <c r="BS192" s="11"/>
      <c r="BT192" s="11"/>
      <c r="BU192" s="11"/>
      <c r="BV192" s="11"/>
      <c r="BW192" s="112"/>
      <c r="BX192" s="112"/>
      <c r="BY192" s="96"/>
      <c r="BZ192" s="112"/>
      <c r="CA192" s="112"/>
      <c r="CB192" s="112"/>
      <c r="CC192" s="112"/>
      <c r="CD192" s="112"/>
      <c r="CE192" s="112"/>
      <c r="CF192" s="112"/>
      <c r="CG192" s="96"/>
      <c r="CH192" s="112"/>
      <c r="CI192" s="112"/>
      <c r="CJ192" s="96"/>
      <c r="CK192" s="96"/>
      <c r="CL192" s="112"/>
      <c r="CM192" s="96"/>
      <c r="CN192" s="112"/>
      <c r="CO192" s="112"/>
      <c r="CP192" s="112"/>
      <c r="CQ192" s="112"/>
      <c r="CR192" s="112"/>
      <c r="CS192" s="112"/>
      <c r="CT192" s="112"/>
      <c r="CU192" s="112"/>
      <c r="CV192" s="112"/>
      <c r="CW192" s="112"/>
      <c r="CX192" s="112"/>
      <c r="CY192" s="112"/>
      <c r="CZ192" s="112"/>
      <c r="DA192" s="26"/>
      <c r="DB192" s="42"/>
      <c r="DC192" s="43"/>
      <c r="DD192" s="62"/>
      <c r="DE192" s="62"/>
      <c r="DF192" s="4"/>
      <c r="DG192" s="4"/>
      <c r="DH192" s="4"/>
      <c r="DI192" s="4"/>
      <c r="DJ192" s="62"/>
      <c r="DK192" s="62"/>
      <c r="DL192" s="209"/>
      <c r="DM192" s="62"/>
      <c r="DN192" s="13"/>
      <c r="DO192" s="7">
        <v>122</v>
      </c>
      <c r="DP192" s="103"/>
      <c r="DQ192" s="19"/>
      <c r="DR192" s="19"/>
      <c r="DS192" s="123"/>
      <c r="DT192" s="130"/>
      <c r="DU192" s="130"/>
      <c r="DV192" s="132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</row>
    <row r="193" spans="1:137" x14ac:dyDescent="0.2">
      <c r="A193" s="7"/>
      <c r="B193" s="103"/>
      <c r="C193" s="19"/>
      <c r="D193" s="19"/>
      <c r="E193" s="82"/>
      <c r="F193" s="82"/>
      <c r="G193" s="9"/>
      <c r="H193" s="93"/>
      <c r="I193" s="47"/>
      <c r="J193" s="20"/>
      <c r="K193" s="112"/>
      <c r="L193" s="112"/>
      <c r="M193" s="112"/>
      <c r="N193" s="112"/>
      <c r="O193" s="112"/>
      <c r="P193" s="112"/>
      <c r="Q193" s="112"/>
      <c r="R193" s="112"/>
      <c r="S193" s="96"/>
      <c r="T193" s="112"/>
      <c r="U193" s="112"/>
      <c r="V193" s="112"/>
      <c r="W193" s="112"/>
      <c r="X193" s="96"/>
      <c r="Y193" s="112"/>
      <c r="Z193" s="112"/>
      <c r="AA193" s="96"/>
      <c r="AB193" s="112"/>
      <c r="AC193" s="112"/>
      <c r="AD193" s="96"/>
      <c r="AE193" s="112"/>
      <c r="AF193" s="113"/>
      <c r="AG193" s="112"/>
      <c r="AH193" s="112"/>
      <c r="AI193" s="112"/>
      <c r="AJ193" s="112"/>
      <c r="AK193" s="112"/>
      <c r="AL193" s="112"/>
      <c r="AM193" s="112"/>
      <c r="AN193" s="255"/>
      <c r="AO193" s="251"/>
      <c r="AP193" s="112"/>
      <c r="AQ193" s="96"/>
      <c r="AR193" s="112"/>
      <c r="AS193" s="112"/>
      <c r="AT193" s="112"/>
      <c r="AU193" s="112"/>
      <c r="AV193" s="112"/>
      <c r="AW193" s="112"/>
      <c r="AX193" s="112"/>
      <c r="AY193" s="96"/>
      <c r="AZ193" s="96"/>
      <c r="BA193" s="11"/>
      <c r="BB193" s="11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96"/>
      <c r="BN193" s="112"/>
      <c r="BO193" s="96"/>
      <c r="BP193" s="112"/>
      <c r="BQ193" s="112"/>
      <c r="BR193" s="112"/>
      <c r="BS193" s="11"/>
      <c r="BT193" s="11"/>
      <c r="BU193" s="11"/>
      <c r="BV193" s="11"/>
      <c r="BW193" s="112"/>
      <c r="BX193" s="112"/>
      <c r="BY193" s="96"/>
      <c r="BZ193" s="112"/>
      <c r="CA193" s="112"/>
      <c r="CB193" s="112"/>
      <c r="CC193" s="112"/>
      <c r="CD193" s="112"/>
      <c r="CE193" s="112"/>
      <c r="CF193" s="112"/>
      <c r="CG193" s="96"/>
      <c r="CH193" s="112"/>
      <c r="CI193" s="112"/>
      <c r="CJ193" s="96"/>
      <c r="CK193" s="96"/>
      <c r="CL193" s="112"/>
      <c r="CM193" s="96"/>
      <c r="CN193" s="112"/>
      <c r="CO193" s="112"/>
      <c r="CP193" s="112"/>
      <c r="CQ193" s="112"/>
      <c r="CR193" s="112"/>
      <c r="CS193" s="112"/>
      <c r="CT193" s="112"/>
      <c r="CU193" s="112"/>
      <c r="CV193" s="112"/>
      <c r="CW193" s="112"/>
      <c r="CX193" s="112"/>
      <c r="CY193" s="112"/>
      <c r="CZ193" s="112"/>
      <c r="DA193" s="26"/>
      <c r="DB193" s="42"/>
      <c r="DC193" s="43"/>
      <c r="DD193" s="62"/>
      <c r="DE193" s="62"/>
      <c r="DF193" s="4"/>
      <c r="DG193" s="4"/>
      <c r="DH193" s="4"/>
      <c r="DI193" s="4"/>
      <c r="DJ193" s="62"/>
      <c r="DK193" s="62"/>
      <c r="DL193" s="209"/>
      <c r="DM193" s="62"/>
      <c r="DN193" s="13"/>
      <c r="DO193" s="7">
        <v>123</v>
      </c>
      <c r="DP193" s="18"/>
      <c r="DQ193" s="19"/>
      <c r="DR193" s="19"/>
      <c r="DS193" s="123"/>
      <c r="DT193" s="130"/>
      <c r="DU193" s="132"/>
      <c r="DV193" s="132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</row>
    <row r="194" spans="1:137" x14ac:dyDescent="0.2">
      <c r="A194" s="7"/>
      <c r="B194" s="18"/>
      <c r="C194" s="19"/>
      <c r="D194" s="19"/>
      <c r="E194" s="82"/>
      <c r="F194" s="82"/>
      <c r="G194" s="9"/>
      <c r="H194" s="93"/>
      <c r="I194" s="47"/>
      <c r="J194" s="20"/>
      <c r="K194" s="112"/>
      <c r="L194" s="112"/>
      <c r="M194" s="112"/>
      <c r="N194" s="112"/>
      <c r="O194" s="112"/>
      <c r="P194" s="112"/>
      <c r="Q194" s="112"/>
      <c r="R194" s="112"/>
      <c r="S194" s="96"/>
      <c r="T194" s="112"/>
      <c r="U194" s="112"/>
      <c r="V194" s="112"/>
      <c r="W194" s="112"/>
      <c r="X194" s="96"/>
      <c r="Y194" s="112"/>
      <c r="Z194" s="112"/>
      <c r="AA194" s="96"/>
      <c r="AB194" s="112"/>
      <c r="AC194" s="112"/>
      <c r="AD194" s="96"/>
      <c r="AE194" s="112"/>
      <c r="AF194" s="113"/>
      <c r="AG194" s="112"/>
      <c r="AH194" s="112"/>
      <c r="AI194" s="112"/>
      <c r="AJ194" s="112"/>
      <c r="AK194" s="112"/>
      <c r="AL194" s="112"/>
      <c r="AM194" s="112"/>
      <c r="AN194" s="255"/>
      <c r="AO194" s="251"/>
      <c r="AP194" s="112"/>
      <c r="AQ194" s="96"/>
      <c r="AR194" s="112"/>
      <c r="AS194" s="112"/>
      <c r="AT194" s="112"/>
      <c r="AU194" s="112"/>
      <c r="AV194" s="112"/>
      <c r="AW194" s="112"/>
      <c r="AX194" s="112"/>
      <c r="AY194" s="96"/>
      <c r="AZ194" s="96"/>
      <c r="BA194" s="11"/>
      <c r="BB194" s="11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96"/>
      <c r="BN194" s="112"/>
      <c r="BO194" s="96"/>
      <c r="BP194" s="112"/>
      <c r="BQ194" s="112"/>
      <c r="BR194" s="112"/>
      <c r="BS194" s="11"/>
      <c r="BT194" s="11"/>
      <c r="BU194" s="11"/>
      <c r="BV194" s="11"/>
      <c r="BW194" s="112"/>
      <c r="BX194" s="112"/>
      <c r="BY194" s="96"/>
      <c r="BZ194" s="112"/>
      <c r="CA194" s="112"/>
      <c r="CB194" s="112"/>
      <c r="CC194" s="112"/>
      <c r="CD194" s="112"/>
      <c r="CE194" s="112"/>
      <c r="CF194" s="112"/>
      <c r="CG194" s="96"/>
      <c r="CH194" s="112"/>
      <c r="CI194" s="112"/>
      <c r="CJ194" s="96"/>
      <c r="CK194" s="96"/>
      <c r="CL194" s="112"/>
      <c r="CM194" s="96"/>
      <c r="CN194" s="112"/>
      <c r="CO194" s="112"/>
      <c r="CP194" s="112"/>
      <c r="CQ194" s="112"/>
      <c r="CR194" s="112"/>
      <c r="CS194" s="112"/>
      <c r="CT194" s="112"/>
      <c r="CU194" s="112"/>
      <c r="CV194" s="112"/>
      <c r="CW194" s="112"/>
      <c r="CX194" s="112"/>
      <c r="CY194" s="112"/>
      <c r="CZ194" s="112"/>
      <c r="DA194" s="26"/>
      <c r="DB194" s="42"/>
      <c r="DC194" s="43"/>
      <c r="DD194" s="62"/>
      <c r="DE194" s="62"/>
      <c r="DF194" s="4"/>
      <c r="DG194" s="4"/>
      <c r="DH194" s="4"/>
      <c r="DI194" s="4"/>
      <c r="DJ194" s="62"/>
      <c r="DK194" s="62"/>
      <c r="DL194" s="209"/>
      <c r="DM194" s="62"/>
      <c r="DN194" s="13"/>
      <c r="DO194" s="7">
        <v>124</v>
      </c>
      <c r="DP194" s="103"/>
      <c r="DQ194" s="19"/>
      <c r="DR194" s="19"/>
      <c r="DS194" s="123"/>
      <c r="DT194" s="130"/>
      <c r="DU194" s="130"/>
      <c r="DV194" s="132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</row>
    <row r="195" spans="1:137" x14ac:dyDescent="0.2">
      <c r="A195" s="7"/>
      <c r="B195" s="190"/>
      <c r="C195" s="19"/>
      <c r="D195" s="19"/>
      <c r="E195" s="82"/>
      <c r="F195" s="82"/>
      <c r="G195" s="9"/>
      <c r="H195" s="93"/>
      <c r="I195" s="47"/>
      <c r="J195" s="20"/>
      <c r="K195" s="20"/>
      <c r="L195" s="20"/>
      <c r="M195" s="20"/>
      <c r="N195" s="20"/>
      <c r="O195" s="20"/>
      <c r="P195" s="20"/>
      <c r="Q195" s="20"/>
      <c r="R195" s="20"/>
      <c r="S195" s="11"/>
      <c r="T195" s="112"/>
      <c r="U195" s="20"/>
      <c r="V195" s="20"/>
      <c r="W195" s="20"/>
      <c r="X195" s="96"/>
      <c r="Y195" s="112"/>
      <c r="Z195" s="112"/>
      <c r="AA195" s="96"/>
      <c r="AB195" s="112"/>
      <c r="AC195" s="112"/>
      <c r="AD195" s="96"/>
      <c r="AE195" s="112"/>
      <c r="AF195" s="113"/>
      <c r="AG195" s="20"/>
      <c r="AH195" s="20"/>
      <c r="AI195" s="20"/>
      <c r="AJ195" s="20"/>
      <c r="AK195" s="20"/>
      <c r="AL195" s="20"/>
      <c r="AM195" s="20"/>
      <c r="AN195" s="254"/>
      <c r="AO195" s="251"/>
      <c r="AP195" s="20"/>
      <c r="AQ195" s="11"/>
      <c r="AR195" s="20"/>
      <c r="AS195" s="20"/>
      <c r="AT195" s="20"/>
      <c r="AU195" s="20"/>
      <c r="AV195" s="20"/>
      <c r="AW195" s="20"/>
      <c r="AX195" s="20"/>
      <c r="AY195" s="11"/>
      <c r="AZ195" s="112"/>
      <c r="BA195" s="11"/>
      <c r="BB195" s="11"/>
      <c r="BC195" s="112"/>
      <c r="BD195" s="20"/>
      <c r="BE195" s="112"/>
      <c r="BF195" s="20"/>
      <c r="BG195" s="20"/>
      <c r="BH195" s="20"/>
      <c r="BI195" s="20"/>
      <c r="BJ195" s="20"/>
      <c r="BK195" s="11"/>
      <c r="BL195" s="11"/>
      <c r="BM195" s="11"/>
      <c r="BN195" s="112"/>
      <c r="BO195" s="11"/>
      <c r="BP195" s="20"/>
      <c r="BQ195" s="11"/>
      <c r="BR195" s="11"/>
      <c r="BS195" s="11"/>
      <c r="BT195" s="11"/>
      <c r="BU195" s="11"/>
      <c r="BV195" s="11"/>
      <c r="BW195" s="112"/>
      <c r="BX195" s="20"/>
      <c r="BY195" s="11"/>
      <c r="BZ195" s="20"/>
      <c r="CA195" s="20"/>
      <c r="CB195" s="20"/>
      <c r="CC195" s="20"/>
      <c r="CD195" s="20"/>
      <c r="CE195" s="20"/>
      <c r="CF195" s="20"/>
      <c r="CG195" s="96"/>
      <c r="CH195" s="20"/>
      <c r="CI195" s="20"/>
      <c r="CJ195" s="11"/>
      <c r="CK195" s="11"/>
      <c r="CL195" s="20"/>
      <c r="CM195" s="11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112"/>
      <c r="CY195" s="112"/>
      <c r="CZ195" s="20"/>
      <c r="DA195" s="26"/>
      <c r="DB195" s="42"/>
      <c r="DC195" s="43"/>
      <c r="DD195" s="62"/>
      <c r="DE195" s="62"/>
      <c r="DF195" s="4"/>
      <c r="DG195" s="4"/>
      <c r="DH195" s="4"/>
      <c r="DI195" s="4"/>
      <c r="DJ195" s="62"/>
      <c r="DK195" s="62"/>
      <c r="DL195" s="209"/>
      <c r="DM195" s="62"/>
      <c r="DN195" s="13"/>
      <c r="DO195" s="7">
        <v>125</v>
      </c>
      <c r="DP195" s="18"/>
      <c r="DQ195" s="19"/>
      <c r="DR195" s="19"/>
      <c r="DS195" s="123"/>
      <c r="DT195" s="130"/>
      <c r="DU195" s="132"/>
      <c r="DV195" s="132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</row>
    <row r="196" spans="1:137" x14ac:dyDescent="0.2">
      <c r="A196" s="7"/>
      <c r="B196" s="190"/>
      <c r="C196" s="19"/>
      <c r="D196" s="19"/>
      <c r="E196" s="82"/>
      <c r="F196" s="82"/>
      <c r="G196" s="9"/>
      <c r="H196" s="93"/>
      <c r="I196" s="47"/>
      <c r="J196" s="20"/>
      <c r="K196" s="20"/>
      <c r="L196" s="20"/>
      <c r="M196" s="20"/>
      <c r="N196" s="20"/>
      <c r="O196" s="20"/>
      <c r="P196" s="20"/>
      <c r="Q196" s="20"/>
      <c r="R196" s="20"/>
      <c r="S196" s="11"/>
      <c r="T196" s="112"/>
      <c r="U196" s="20"/>
      <c r="V196" s="20"/>
      <c r="W196" s="20"/>
      <c r="X196" s="96"/>
      <c r="Y196" s="112"/>
      <c r="Z196" s="112"/>
      <c r="AA196" s="96"/>
      <c r="AB196" s="112"/>
      <c r="AC196" s="112"/>
      <c r="AD196" s="96"/>
      <c r="AE196" s="112"/>
      <c r="AF196" s="113"/>
      <c r="AG196" s="20"/>
      <c r="AH196" s="20"/>
      <c r="AI196" s="20"/>
      <c r="AJ196" s="20"/>
      <c r="AK196" s="20"/>
      <c r="AL196" s="20"/>
      <c r="AM196" s="20"/>
      <c r="AN196" s="254"/>
      <c r="AO196" s="251"/>
      <c r="AP196" s="20"/>
      <c r="AQ196" s="11"/>
      <c r="AR196" s="20"/>
      <c r="AS196" s="20"/>
      <c r="AT196" s="20"/>
      <c r="AU196" s="20"/>
      <c r="AV196" s="20"/>
      <c r="AW196" s="20"/>
      <c r="AX196" s="20"/>
      <c r="AY196" s="11"/>
      <c r="AZ196" s="112"/>
      <c r="BA196" s="11"/>
      <c r="BB196" s="11"/>
      <c r="BC196" s="112"/>
      <c r="BD196" s="20"/>
      <c r="BE196" s="112"/>
      <c r="BF196" s="20"/>
      <c r="BG196" s="20"/>
      <c r="BH196" s="20"/>
      <c r="BI196" s="20"/>
      <c r="BJ196" s="20"/>
      <c r="BK196" s="20"/>
      <c r="BL196" s="20"/>
      <c r="BM196" s="11"/>
      <c r="BN196" s="112"/>
      <c r="BO196" s="11"/>
      <c r="BP196" s="20"/>
      <c r="BQ196" s="20"/>
      <c r="BR196" s="20"/>
      <c r="BS196" s="11"/>
      <c r="BT196" s="11"/>
      <c r="BU196" s="11"/>
      <c r="BV196" s="11"/>
      <c r="BW196" s="112"/>
      <c r="BX196" s="20"/>
      <c r="BY196" s="11"/>
      <c r="BZ196" s="20"/>
      <c r="CA196" s="20"/>
      <c r="CB196" s="20"/>
      <c r="CC196" s="20"/>
      <c r="CD196" s="20"/>
      <c r="CE196" s="20"/>
      <c r="CF196" s="20"/>
      <c r="CG196" s="96"/>
      <c r="CH196" s="11"/>
      <c r="CI196" s="20"/>
      <c r="CJ196" s="11"/>
      <c r="CK196" s="11"/>
      <c r="CL196" s="20"/>
      <c r="CM196" s="11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112"/>
      <c r="CY196" s="112"/>
      <c r="CZ196" s="20"/>
      <c r="DA196" s="26"/>
      <c r="DB196" s="42"/>
      <c r="DC196" s="43"/>
      <c r="DD196" s="62"/>
      <c r="DE196" s="62"/>
      <c r="DF196" s="4"/>
      <c r="DG196" s="4"/>
      <c r="DH196" s="4"/>
      <c r="DI196" s="4"/>
      <c r="DJ196" s="62"/>
      <c r="DK196" s="62"/>
      <c r="DL196" s="209"/>
      <c r="DM196" s="62"/>
      <c r="DN196" s="13"/>
      <c r="DO196" s="7">
        <v>126</v>
      </c>
      <c r="DP196" s="103"/>
      <c r="DQ196" s="19"/>
      <c r="DR196" s="19"/>
      <c r="DS196" s="123"/>
      <c r="DT196" s="130"/>
      <c r="DU196" s="132"/>
      <c r="DV196" s="132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</row>
    <row r="197" spans="1:137" x14ac:dyDescent="0.2">
      <c r="A197" s="7"/>
      <c r="B197" s="103"/>
      <c r="C197" s="19"/>
      <c r="D197" s="19"/>
      <c r="E197" s="82"/>
      <c r="F197" s="82"/>
      <c r="G197" s="9"/>
      <c r="H197" s="93"/>
      <c r="I197" s="47"/>
      <c r="J197" s="20"/>
      <c r="K197" s="112"/>
      <c r="L197" s="112"/>
      <c r="M197" s="112"/>
      <c r="N197" s="112"/>
      <c r="O197" s="112"/>
      <c r="P197" s="112"/>
      <c r="Q197" s="112"/>
      <c r="R197" s="112"/>
      <c r="S197" s="96"/>
      <c r="T197" s="112"/>
      <c r="U197" s="112"/>
      <c r="V197" s="112"/>
      <c r="W197" s="112"/>
      <c r="X197" s="96"/>
      <c r="Y197" s="112"/>
      <c r="Z197" s="112"/>
      <c r="AA197" s="96"/>
      <c r="AB197" s="112"/>
      <c r="AC197" s="112"/>
      <c r="AD197" s="96"/>
      <c r="AE197" s="112"/>
      <c r="AF197" s="113"/>
      <c r="AG197" s="112"/>
      <c r="AH197" s="112"/>
      <c r="AI197" s="112"/>
      <c r="AJ197" s="112"/>
      <c r="AK197" s="112"/>
      <c r="AL197" s="112"/>
      <c r="AM197" s="112"/>
      <c r="AN197" s="255"/>
      <c r="AO197" s="251"/>
      <c r="AP197" s="112"/>
      <c r="AQ197" s="96"/>
      <c r="AR197" s="112"/>
      <c r="AS197" s="112"/>
      <c r="AT197" s="112"/>
      <c r="AU197" s="112"/>
      <c r="AV197" s="112"/>
      <c r="AW197" s="112"/>
      <c r="AX197" s="112"/>
      <c r="AY197" s="96"/>
      <c r="AZ197" s="112"/>
      <c r="BA197" s="11"/>
      <c r="BB197" s="11"/>
      <c r="BC197" s="112"/>
      <c r="BD197" s="112"/>
      <c r="BE197" s="112"/>
      <c r="BF197" s="112"/>
      <c r="BG197" s="112"/>
      <c r="BH197" s="112"/>
      <c r="BI197" s="112"/>
      <c r="BJ197" s="112"/>
      <c r="BK197" s="112"/>
      <c r="BL197" s="112"/>
      <c r="BM197" s="96"/>
      <c r="BN197" s="112"/>
      <c r="BO197" s="96"/>
      <c r="BP197" s="112"/>
      <c r="BQ197" s="112"/>
      <c r="BR197" s="112"/>
      <c r="BS197" s="11"/>
      <c r="BT197" s="11"/>
      <c r="BU197" s="11"/>
      <c r="BV197" s="11"/>
      <c r="BW197" s="112"/>
      <c r="BX197" s="112"/>
      <c r="BY197" s="96"/>
      <c r="BZ197" s="112"/>
      <c r="CA197" s="112"/>
      <c r="CB197" s="112"/>
      <c r="CC197" s="112"/>
      <c r="CD197" s="112"/>
      <c r="CE197" s="112"/>
      <c r="CF197" s="112"/>
      <c r="CG197" s="96"/>
      <c r="CH197" s="96"/>
      <c r="CI197" s="112"/>
      <c r="CJ197" s="96"/>
      <c r="CK197" s="96"/>
      <c r="CL197" s="112"/>
      <c r="CM197" s="96"/>
      <c r="CN197" s="112"/>
      <c r="CO197" s="112"/>
      <c r="CP197" s="112"/>
      <c r="CQ197" s="112"/>
      <c r="CR197" s="112"/>
      <c r="CS197" s="112"/>
      <c r="CT197" s="112"/>
      <c r="CU197" s="112"/>
      <c r="CV197" s="112"/>
      <c r="CW197" s="112"/>
      <c r="CX197" s="112"/>
      <c r="CY197" s="112"/>
      <c r="CZ197" s="112"/>
      <c r="DA197" s="26"/>
      <c r="DB197" s="42"/>
      <c r="DC197" s="43"/>
      <c r="DD197" s="62"/>
      <c r="DE197" s="62"/>
      <c r="DF197" s="4"/>
      <c r="DG197" s="4"/>
      <c r="DH197" s="4"/>
      <c r="DI197" s="4"/>
      <c r="DJ197" s="62"/>
      <c r="DK197" s="62"/>
      <c r="DL197" s="209"/>
      <c r="DM197" s="62"/>
      <c r="DN197" s="13"/>
      <c r="DO197" s="7">
        <v>127</v>
      </c>
      <c r="DP197" s="103"/>
      <c r="DQ197" s="19"/>
      <c r="DR197" s="19"/>
      <c r="DS197" s="123"/>
      <c r="DT197" s="130"/>
      <c r="DU197" s="132"/>
      <c r="DV197" s="132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</row>
    <row r="198" spans="1:137" x14ac:dyDescent="0.2">
      <c r="A198" s="7"/>
      <c r="B198" s="103"/>
      <c r="C198" s="19"/>
      <c r="D198" s="19"/>
      <c r="E198" s="82"/>
      <c r="F198" s="82"/>
      <c r="G198" s="9"/>
      <c r="H198" s="93"/>
      <c r="I198" s="47"/>
      <c r="J198" s="20"/>
      <c r="K198" s="112"/>
      <c r="L198" s="112"/>
      <c r="M198" s="112"/>
      <c r="N198" s="112"/>
      <c r="O198" s="112"/>
      <c r="P198" s="112"/>
      <c r="Q198" s="112"/>
      <c r="R198" s="112"/>
      <c r="S198" s="96"/>
      <c r="T198" s="112"/>
      <c r="U198" s="112"/>
      <c r="V198" s="112"/>
      <c r="W198" s="112"/>
      <c r="X198" s="96"/>
      <c r="Y198" s="112"/>
      <c r="Z198" s="112"/>
      <c r="AA198" s="96"/>
      <c r="AB198" s="112"/>
      <c r="AC198" s="112"/>
      <c r="AD198" s="96"/>
      <c r="AE198" s="112"/>
      <c r="AF198" s="113"/>
      <c r="AG198" s="112"/>
      <c r="AH198" s="112"/>
      <c r="AI198" s="112"/>
      <c r="AJ198" s="112"/>
      <c r="AK198" s="112"/>
      <c r="AL198" s="112"/>
      <c r="AM198" s="112"/>
      <c r="AN198" s="255"/>
      <c r="AO198" s="251"/>
      <c r="AP198" s="112"/>
      <c r="AQ198" s="112"/>
      <c r="AR198" s="112"/>
      <c r="AS198" s="112"/>
      <c r="AT198" s="112"/>
      <c r="AU198" s="112"/>
      <c r="AV198" s="112"/>
      <c r="AW198" s="112"/>
      <c r="AX198" s="112"/>
      <c r="AY198" s="96"/>
      <c r="AZ198" s="112"/>
      <c r="BA198" s="11"/>
      <c r="BB198" s="11"/>
      <c r="BC198" s="112"/>
      <c r="BD198" s="112"/>
      <c r="BE198" s="112"/>
      <c r="BF198" s="112"/>
      <c r="BG198" s="112"/>
      <c r="BH198" s="112"/>
      <c r="BI198" s="112"/>
      <c r="BJ198" s="112"/>
      <c r="BK198" s="112"/>
      <c r="BL198" s="112"/>
      <c r="BM198" s="96"/>
      <c r="BN198" s="112"/>
      <c r="BO198" s="112"/>
      <c r="BP198" s="112"/>
      <c r="BQ198" s="112"/>
      <c r="BR198" s="112"/>
      <c r="BS198" s="11"/>
      <c r="BT198" s="11"/>
      <c r="BU198" s="11"/>
      <c r="BV198" s="11"/>
      <c r="BW198" s="112"/>
      <c r="BX198" s="112"/>
      <c r="BY198" s="96"/>
      <c r="BZ198" s="112"/>
      <c r="CA198" s="112"/>
      <c r="CB198" s="112"/>
      <c r="CC198" s="112"/>
      <c r="CD198" s="112"/>
      <c r="CE198" s="112"/>
      <c r="CF198" s="112"/>
      <c r="CG198" s="96"/>
      <c r="CH198" s="96"/>
      <c r="CI198" s="112"/>
      <c r="CJ198" s="96"/>
      <c r="CK198" s="96"/>
      <c r="CL198" s="112"/>
      <c r="CM198" s="96"/>
      <c r="CN198" s="112"/>
      <c r="CO198" s="112"/>
      <c r="CP198" s="112"/>
      <c r="CQ198" s="112"/>
      <c r="CR198" s="112"/>
      <c r="CS198" s="112"/>
      <c r="CT198" s="112"/>
      <c r="CU198" s="112"/>
      <c r="CV198" s="112"/>
      <c r="CW198" s="112"/>
      <c r="CX198" s="112"/>
      <c r="CY198" s="112"/>
      <c r="CZ198" s="112"/>
      <c r="DA198" s="26"/>
      <c r="DB198" s="42"/>
      <c r="DC198" s="43"/>
      <c r="DD198" s="62"/>
      <c r="DE198" s="62"/>
      <c r="DF198" s="4"/>
      <c r="DG198" s="4"/>
      <c r="DH198" s="4"/>
      <c r="DI198" s="4"/>
      <c r="DJ198" s="62"/>
      <c r="DK198" s="62"/>
      <c r="DL198" s="209"/>
      <c r="DM198" s="62"/>
      <c r="DN198" s="13"/>
      <c r="DO198" s="7">
        <v>128</v>
      </c>
      <c r="DP198" s="103"/>
      <c r="DQ198" s="19"/>
      <c r="DR198" s="19"/>
      <c r="DS198" s="123"/>
      <c r="DT198" s="130"/>
      <c r="DU198" s="132"/>
      <c r="DV198" s="132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</row>
    <row r="199" spans="1:137" x14ac:dyDescent="0.2">
      <c r="A199" s="7"/>
      <c r="B199" s="18"/>
      <c r="C199" s="19"/>
      <c r="D199" s="19"/>
      <c r="E199" s="82"/>
      <c r="F199" s="82"/>
      <c r="G199" s="9"/>
      <c r="H199" s="93"/>
      <c r="I199" s="47"/>
      <c r="J199" s="112"/>
      <c r="K199" s="112"/>
      <c r="L199" s="112"/>
      <c r="M199" s="112"/>
      <c r="N199" s="112"/>
      <c r="O199" s="112"/>
      <c r="P199" s="112"/>
      <c r="Q199" s="112"/>
      <c r="R199" s="191"/>
      <c r="S199" s="96"/>
      <c r="T199" s="112"/>
      <c r="U199" s="112"/>
      <c r="V199" s="112"/>
      <c r="W199" s="112"/>
      <c r="X199" s="96"/>
      <c r="Y199" s="112"/>
      <c r="Z199" s="112"/>
      <c r="AA199" s="96"/>
      <c r="AB199" s="112"/>
      <c r="AC199" s="112"/>
      <c r="AD199" s="96"/>
      <c r="AE199" s="112"/>
      <c r="AF199" s="113"/>
      <c r="AG199" s="112"/>
      <c r="AH199" s="112"/>
      <c r="AI199" s="112"/>
      <c r="AJ199" s="112"/>
      <c r="AK199" s="112"/>
      <c r="AL199" s="112"/>
      <c r="AM199" s="112"/>
      <c r="AN199" s="255"/>
      <c r="AO199" s="251"/>
      <c r="AP199" s="112"/>
      <c r="AQ199" s="112"/>
      <c r="AR199" s="112"/>
      <c r="AS199" s="112"/>
      <c r="AT199" s="112"/>
      <c r="AU199" s="112"/>
      <c r="AV199" s="112"/>
      <c r="AW199" s="112"/>
      <c r="AX199" s="112"/>
      <c r="AY199" s="96"/>
      <c r="AZ199" s="112"/>
      <c r="BA199" s="11"/>
      <c r="BB199" s="11"/>
      <c r="BC199" s="112"/>
      <c r="BD199" s="112"/>
      <c r="BE199" s="112"/>
      <c r="BF199" s="112"/>
      <c r="BG199" s="112"/>
      <c r="BH199" s="112"/>
      <c r="BI199" s="112"/>
      <c r="BJ199" s="112"/>
      <c r="BK199" s="112"/>
      <c r="BL199" s="112"/>
      <c r="BM199" s="112"/>
      <c r="BN199" s="112"/>
      <c r="BO199" s="112"/>
      <c r="BP199" s="112"/>
      <c r="BQ199" s="112"/>
      <c r="BR199" s="96"/>
      <c r="BS199" s="11"/>
      <c r="BT199" s="11"/>
      <c r="BU199" s="11"/>
      <c r="BV199" s="11"/>
      <c r="BW199" s="112"/>
      <c r="BX199" s="112"/>
      <c r="BY199" s="96"/>
      <c r="BZ199" s="96"/>
      <c r="CA199" s="112"/>
      <c r="CB199" s="112"/>
      <c r="CC199" s="112"/>
      <c r="CD199" s="112"/>
      <c r="CE199" s="112"/>
      <c r="CF199" s="112"/>
      <c r="CG199" s="96"/>
      <c r="CH199" s="112"/>
      <c r="CI199" s="112"/>
      <c r="CJ199" s="96"/>
      <c r="CK199" s="96"/>
      <c r="CL199" s="112"/>
      <c r="CM199" s="96"/>
      <c r="CN199" s="112"/>
      <c r="CO199" s="112"/>
      <c r="CP199" s="112"/>
      <c r="CQ199" s="112"/>
      <c r="CR199" s="112"/>
      <c r="CS199" s="112"/>
      <c r="CT199" s="112"/>
      <c r="CU199" s="112"/>
      <c r="CV199" s="112"/>
      <c r="CW199" s="112"/>
      <c r="CX199" s="112"/>
      <c r="CY199" s="112"/>
      <c r="CZ199" s="112"/>
      <c r="DA199" s="26"/>
      <c r="DB199" s="42"/>
      <c r="DC199" s="43"/>
      <c r="DD199" s="62"/>
      <c r="DE199" s="62"/>
      <c r="DF199" s="4"/>
      <c r="DG199" s="4"/>
      <c r="DH199" s="4"/>
      <c r="DI199" s="4"/>
      <c r="DJ199" s="62"/>
      <c r="DK199" s="62"/>
      <c r="DL199" s="209"/>
      <c r="DM199" s="62"/>
      <c r="DN199" s="13"/>
      <c r="DO199" s="7">
        <v>129</v>
      </c>
      <c r="DP199" s="103"/>
      <c r="DQ199" s="19"/>
      <c r="DR199" s="19"/>
      <c r="DS199" s="123"/>
      <c r="DT199" s="130"/>
      <c r="DU199" s="132"/>
      <c r="DV199" s="132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</row>
    <row r="200" spans="1:137" x14ac:dyDescent="0.2">
      <c r="A200" s="7"/>
      <c r="B200" s="18"/>
      <c r="C200" s="19"/>
      <c r="D200" s="19"/>
      <c r="E200" s="82"/>
      <c r="F200" s="82"/>
      <c r="G200" s="9"/>
      <c r="H200" s="93"/>
      <c r="I200" s="47"/>
      <c r="J200" s="20"/>
      <c r="K200" s="112"/>
      <c r="L200" s="112"/>
      <c r="M200" s="112"/>
      <c r="N200" s="112"/>
      <c r="O200" s="112"/>
      <c r="P200" s="112"/>
      <c r="Q200" s="112"/>
      <c r="R200" s="112"/>
      <c r="S200" s="96"/>
      <c r="T200" s="112"/>
      <c r="U200" s="112"/>
      <c r="V200" s="112"/>
      <c r="W200" s="112"/>
      <c r="X200" s="96"/>
      <c r="Y200" s="112"/>
      <c r="Z200" s="112"/>
      <c r="AA200" s="96"/>
      <c r="AB200" s="112"/>
      <c r="AC200" s="112"/>
      <c r="AD200" s="96"/>
      <c r="AE200" s="112"/>
      <c r="AF200" s="113"/>
      <c r="AG200" s="112"/>
      <c r="AH200" s="112"/>
      <c r="AI200" s="112"/>
      <c r="AJ200" s="112"/>
      <c r="AK200" s="112"/>
      <c r="AL200" s="112"/>
      <c r="AM200" s="112"/>
      <c r="AN200" s="255"/>
      <c r="AO200" s="251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96"/>
      <c r="AZ200" s="112"/>
      <c r="BA200" s="11"/>
      <c r="BB200" s="11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"/>
      <c r="BT200" s="11"/>
      <c r="BU200" s="11"/>
      <c r="BV200" s="11"/>
      <c r="BW200" s="112"/>
      <c r="BX200" s="112"/>
      <c r="BY200" s="96"/>
      <c r="BZ200" s="96"/>
      <c r="CA200" s="112"/>
      <c r="CB200" s="112"/>
      <c r="CC200" s="112"/>
      <c r="CD200" s="112"/>
      <c r="CE200" s="112"/>
      <c r="CF200" s="112"/>
      <c r="CG200" s="96"/>
      <c r="CH200" s="112"/>
      <c r="CI200" s="112"/>
      <c r="CJ200" s="96"/>
      <c r="CK200" s="96"/>
      <c r="CL200" s="112"/>
      <c r="CM200" s="96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2"/>
      <c r="CZ200" s="112"/>
      <c r="DA200" s="26"/>
      <c r="DB200" s="42"/>
      <c r="DC200" s="43"/>
      <c r="DD200" s="62"/>
      <c r="DE200" s="62"/>
      <c r="DF200" s="4"/>
      <c r="DG200" s="4"/>
      <c r="DH200" s="4"/>
      <c r="DI200" s="4"/>
      <c r="DJ200" s="62"/>
      <c r="DK200" s="62"/>
      <c r="DL200" s="209"/>
      <c r="DM200" s="62"/>
      <c r="DN200" s="13"/>
      <c r="DO200" s="7">
        <v>130</v>
      </c>
      <c r="DP200" s="103"/>
      <c r="DQ200" s="19"/>
      <c r="DR200" s="19"/>
      <c r="DS200" s="123"/>
      <c r="DT200" s="130"/>
      <c r="DU200" s="132"/>
      <c r="DV200" s="132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</row>
    <row r="201" spans="1:137" x14ac:dyDescent="0.2">
      <c r="A201" s="7"/>
      <c r="B201" s="190"/>
      <c r="C201" s="19"/>
      <c r="D201" s="19"/>
      <c r="E201" s="82"/>
      <c r="F201" s="82"/>
      <c r="G201" s="9"/>
      <c r="H201" s="93"/>
      <c r="I201" s="47"/>
      <c r="J201" s="20"/>
      <c r="K201" s="20"/>
      <c r="L201" s="20"/>
      <c r="M201" s="20"/>
      <c r="N201" s="20"/>
      <c r="O201" s="20"/>
      <c r="P201" s="20"/>
      <c r="Q201" s="20"/>
      <c r="R201" s="20"/>
      <c r="S201" s="11"/>
      <c r="T201" s="112"/>
      <c r="U201" s="20"/>
      <c r="V201" s="20"/>
      <c r="W201" s="20"/>
      <c r="X201" s="96"/>
      <c r="Y201" s="112"/>
      <c r="Z201" s="112"/>
      <c r="AA201" s="96"/>
      <c r="AB201" s="112"/>
      <c r="AC201" s="112"/>
      <c r="AD201" s="96"/>
      <c r="AE201" s="112"/>
      <c r="AF201" s="113"/>
      <c r="AG201" s="20"/>
      <c r="AH201" s="20"/>
      <c r="AI201" s="20"/>
      <c r="AJ201" s="20"/>
      <c r="AK201" s="20"/>
      <c r="AL201" s="20"/>
      <c r="AM201" s="20"/>
      <c r="AN201" s="254"/>
      <c r="AO201" s="251"/>
      <c r="AP201" s="20"/>
      <c r="AQ201" s="112"/>
      <c r="AR201" s="20"/>
      <c r="AS201" s="20"/>
      <c r="AT201" s="20"/>
      <c r="AU201" s="20"/>
      <c r="AV201" s="20"/>
      <c r="AW201" s="20"/>
      <c r="AX201" s="20"/>
      <c r="AY201" s="11"/>
      <c r="AZ201" s="112"/>
      <c r="BA201" s="11"/>
      <c r="BB201" s="11"/>
      <c r="BC201" s="112"/>
      <c r="BD201" s="20"/>
      <c r="BE201" s="112"/>
      <c r="BF201" s="20"/>
      <c r="BG201" s="20"/>
      <c r="BH201" s="20"/>
      <c r="BI201" s="20"/>
      <c r="BJ201" s="20"/>
      <c r="BK201" s="20"/>
      <c r="BL201" s="20"/>
      <c r="BM201" s="20"/>
      <c r="BN201" s="112"/>
      <c r="BO201" s="20"/>
      <c r="BP201" s="20"/>
      <c r="BQ201" s="20"/>
      <c r="BR201" s="20"/>
      <c r="BS201" s="11"/>
      <c r="BT201" s="11"/>
      <c r="BU201" s="11"/>
      <c r="BV201" s="11"/>
      <c r="BW201" s="112"/>
      <c r="BX201" s="20"/>
      <c r="BY201" s="11"/>
      <c r="BZ201" s="11"/>
      <c r="CA201" s="20"/>
      <c r="CB201" s="20"/>
      <c r="CC201" s="20"/>
      <c r="CD201" s="20"/>
      <c r="CE201" s="20"/>
      <c r="CF201" s="20"/>
      <c r="CG201" s="96"/>
      <c r="CH201" s="20"/>
      <c r="CI201" s="20"/>
      <c r="CJ201" s="11"/>
      <c r="CK201" s="11"/>
      <c r="CL201" s="20"/>
      <c r="CM201" s="11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112"/>
      <c r="CY201" s="112"/>
      <c r="CZ201" s="20"/>
      <c r="DA201" s="26"/>
      <c r="DB201" s="42"/>
      <c r="DC201" s="43"/>
      <c r="DD201" s="62"/>
      <c r="DE201" s="62"/>
      <c r="DF201" s="4"/>
      <c r="DG201" s="4"/>
      <c r="DH201" s="4"/>
      <c r="DI201" s="4"/>
      <c r="DJ201" s="62"/>
      <c r="DK201" s="62"/>
      <c r="DL201" s="209"/>
      <c r="DM201" s="62"/>
      <c r="DN201" s="13"/>
      <c r="DO201" s="7">
        <v>131</v>
      </c>
      <c r="DP201" s="103"/>
      <c r="DQ201" s="19"/>
      <c r="DR201" s="19"/>
      <c r="DS201" s="123"/>
      <c r="DT201" s="130"/>
      <c r="DU201" s="132"/>
      <c r="DV201" s="132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</row>
    <row r="202" spans="1:137" x14ac:dyDescent="0.2">
      <c r="A202" s="7"/>
      <c r="B202" s="18"/>
      <c r="C202" s="19"/>
      <c r="D202" s="19"/>
      <c r="E202" s="82"/>
      <c r="F202" s="82"/>
      <c r="G202" s="9"/>
      <c r="H202" s="93"/>
      <c r="I202" s="47"/>
      <c r="J202" s="20"/>
      <c r="K202" s="112"/>
      <c r="L202" s="112"/>
      <c r="M202" s="112"/>
      <c r="N202" s="112"/>
      <c r="O202" s="112"/>
      <c r="P202" s="112"/>
      <c r="Q202" s="112"/>
      <c r="R202" s="112"/>
      <c r="S202" s="96"/>
      <c r="T202" s="112"/>
      <c r="U202" s="112"/>
      <c r="V202" s="112"/>
      <c r="W202" s="112"/>
      <c r="X202" s="96"/>
      <c r="Y202" s="112"/>
      <c r="Z202" s="112"/>
      <c r="AA202" s="96"/>
      <c r="AB202" s="112"/>
      <c r="AC202" s="112"/>
      <c r="AD202" s="96"/>
      <c r="AE202" s="112"/>
      <c r="AF202" s="113"/>
      <c r="AG202" s="112"/>
      <c r="AH202" s="112"/>
      <c r="AI202" s="112"/>
      <c r="AJ202" s="112"/>
      <c r="AK202" s="112"/>
      <c r="AL202" s="112"/>
      <c r="AM202" s="112"/>
      <c r="AN202" s="255"/>
      <c r="AO202" s="251"/>
      <c r="AP202" s="112"/>
      <c r="AQ202" s="112"/>
      <c r="AR202" s="112"/>
      <c r="AS202" s="112"/>
      <c r="AT202" s="112"/>
      <c r="AU202" s="112"/>
      <c r="AV202" s="112"/>
      <c r="AW202" s="112"/>
      <c r="AX202" s="112"/>
      <c r="AY202" s="96"/>
      <c r="AZ202" s="112"/>
      <c r="BA202" s="11"/>
      <c r="BB202" s="11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2"/>
      <c r="BM202" s="112"/>
      <c r="BN202" s="112"/>
      <c r="BO202" s="112"/>
      <c r="BP202" s="112"/>
      <c r="BQ202" s="112"/>
      <c r="BR202" s="112"/>
      <c r="BS202" s="11"/>
      <c r="BT202" s="11"/>
      <c r="BU202" s="11"/>
      <c r="BV202" s="11"/>
      <c r="BW202" s="112"/>
      <c r="BX202" s="112"/>
      <c r="BY202" s="96"/>
      <c r="BZ202" s="96"/>
      <c r="CA202" s="112"/>
      <c r="CB202" s="112"/>
      <c r="CC202" s="112"/>
      <c r="CD202" s="112"/>
      <c r="CE202" s="112"/>
      <c r="CF202" s="112"/>
      <c r="CG202" s="96"/>
      <c r="CH202" s="112"/>
      <c r="CI202" s="112"/>
      <c r="CJ202" s="96"/>
      <c r="CK202" s="96"/>
      <c r="CL202" s="112"/>
      <c r="CM202" s="96"/>
      <c r="CN202" s="112"/>
      <c r="CO202" s="112"/>
      <c r="CP202" s="112"/>
      <c r="CQ202" s="112"/>
      <c r="CR202" s="112"/>
      <c r="CS202" s="112"/>
      <c r="CT202" s="112"/>
      <c r="CU202" s="112"/>
      <c r="CV202" s="112"/>
      <c r="CW202" s="112"/>
      <c r="CX202" s="112"/>
      <c r="CY202" s="112"/>
      <c r="CZ202" s="112"/>
      <c r="DA202" s="26"/>
      <c r="DB202" s="42"/>
      <c r="DC202" s="43"/>
      <c r="DD202" s="62"/>
      <c r="DE202" s="62"/>
      <c r="DF202" s="4"/>
      <c r="DG202" s="4"/>
      <c r="DH202" s="4"/>
      <c r="DI202" s="4"/>
      <c r="DJ202" s="62"/>
      <c r="DK202" s="62"/>
      <c r="DL202" s="209"/>
      <c r="DM202" s="62"/>
      <c r="DN202" s="13"/>
      <c r="DO202" s="7">
        <v>132</v>
      </c>
      <c r="DP202" s="103"/>
      <c r="DQ202" s="19"/>
      <c r="DR202" s="19"/>
      <c r="DS202" s="123"/>
      <c r="DT202" s="130"/>
      <c r="DU202" s="132"/>
      <c r="DV202" s="132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</row>
    <row r="203" spans="1:137" x14ac:dyDescent="0.2">
      <c r="A203" s="7"/>
      <c r="B203" s="190"/>
      <c r="C203" s="19"/>
      <c r="D203" s="19"/>
      <c r="E203" s="82"/>
      <c r="F203" s="82"/>
      <c r="G203" s="9"/>
      <c r="H203" s="93"/>
      <c r="I203" s="47"/>
      <c r="J203" s="20"/>
      <c r="K203" s="20"/>
      <c r="L203" s="20"/>
      <c r="M203" s="20"/>
      <c r="N203" s="20"/>
      <c r="O203" s="20"/>
      <c r="P203" s="20"/>
      <c r="Q203" s="20"/>
      <c r="R203" s="20"/>
      <c r="S203" s="11"/>
      <c r="T203" s="112"/>
      <c r="U203" s="20"/>
      <c r="V203" s="20"/>
      <c r="W203" s="20"/>
      <c r="X203" s="96"/>
      <c r="Y203" s="112"/>
      <c r="Z203" s="112"/>
      <c r="AA203" s="96"/>
      <c r="AB203" s="112"/>
      <c r="AC203" s="112"/>
      <c r="AD203" s="96"/>
      <c r="AE203" s="112"/>
      <c r="AF203" s="113"/>
      <c r="AG203" s="20"/>
      <c r="AH203" s="20"/>
      <c r="AI203" s="20"/>
      <c r="AJ203" s="20"/>
      <c r="AK203" s="20"/>
      <c r="AL203" s="20"/>
      <c r="AM203" s="20"/>
      <c r="AN203" s="254"/>
      <c r="AO203" s="251"/>
      <c r="AP203" s="20"/>
      <c r="AQ203" s="20"/>
      <c r="AR203" s="20"/>
      <c r="AS203" s="20"/>
      <c r="AT203" s="20"/>
      <c r="AU203" s="20"/>
      <c r="AV203" s="11"/>
      <c r="AW203" s="20"/>
      <c r="AX203" s="20"/>
      <c r="AY203" s="11"/>
      <c r="AZ203" s="112"/>
      <c r="BA203" s="11"/>
      <c r="BB203" s="11"/>
      <c r="BC203" s="112"/>
      <c r="BD203" s="20"/>
      <c r="BE203" s="112"/>
      <c r="BF203" s="20"/>
      <c r="BG203" s="20"/>
      <c r="BH203" s="20"/>
      <c r="BI203" s="20"/>
      <c r="BJ203" s="20"/>
      <c r="BK203" s="20"/>
      <c r="BL203" s="20"/>
      <c r="BM203" s="20"/>
      <c r="BN203" s="112"/>
      <c r="BO203" s="20"/>
      <c r="BP203" s="20"/>
      <c r="BQ203" s="20"/>
      <c r="BR203" s="20"/>
      <c r="BS203" s="11"/>
      <c r="BT203" s="11"/>
      <c r="BU203" s="11"/>
      <c r="BV203" s="11"/>
      <c r="BW203" s="112"/>
      <c r="BX203" s="11"/>
      <c r="BY203" s="11"/>
      <c r="BZ203" s="11"/>
      <c r="CA203" s="20"/>
      <c r="CB203" s="20"/>
      <c r="CC203" s="20"/>
      <c r="CD203" s="20"/>
      <c r="CE203" s="20"/>
      <c r="CF203" s="20"/>
      <c r="CG203" s="96"/>
      <c r="CH203" s="20"/>
      <c r="CI203" s="20"/>
      <c r="CJ203" s="11"/>
      <c r="CK203" s="11"/>
      <c r="CL203" s="20"/>
      <c r="CM203" s="11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112"/>
      <c r="CY203" s="112"/>
      <c r="CZ203" s="20"/>
      <c r="DA203" s="26"/>
      <c r="DB203" s="42"/>
      <c r="DC203" s="43"/>
      <c r="DD203" s="62"/>
      <c r="DE203" s="62"/>
      <c r="DF203" s="4"/>
      <c r="DG203" s="4"/>
      <c r="DH203" s="4"/>
      <c r="DI203" s="4"/>
      <c r="DJ203" s="62"/>
      <c r="DK203" s="62"/>
      <c r="DL203" s="209"/>
      <c r="DM203" s="62"/>
      <c r="DN203" s="13"/>
      <c r="DO203" s="7">
        <v>133</v>
      </c>
      <c r="DP203" s="103"/>
      <c r="DQ203" s="19"/>
      <c r="DR203" s="19"/>
      <c r="DS203" s="123"/>
      <c r="DT203" s="130"/>
      <c r="DU203" s="132"/>
      <c r="DV203" s="132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</row>
    <row r="204" spans="1:137" x14ac:dyDescent="0.2">
      <c r="A204" s="7"/>
      <c r="B204" s="103"/>
      <c r="C204" s="19"/>
      <c r="D204" s="19"/>
      <c r="E204" s="82"/>
      <c r="F204" s="82"/>
      <c r="G204" s="9"/>
      <c r="H204" s="93"/>
      <c r="I204" s="47"/>
      <c r="J204" s="20"/>
      <c r="K204" s="112"/>
      <c r="L204" s="112"/>
      <c r="M204" s="112"/>
      <c r="N204" s="112"/>
      <c r="O204" s="112"/>
      <c r="P204" s="112"/>
      <c r="Q204" s="112"/>
      <c r="R204" s="112"/>
      <c r="S204" s="96"/>
      <c r="T204" s="112"/>
      <c r="U204" s="112"/>
      <c r="V204" s="112"/>
      <c r="W204" s="112"/>
      <c r="X204" s="96"/>
      <c r="Y204" s="112"/>
      <c r="Z204" s="112"/>
      <c r="AA204" s="96"/>
      <c r="AB204" s="112"/>
      <c r="AC204" s="112"/>
      <c r="AD204" s="96"/>
      <c r="AE204" s="112"/>
      <c r="AF204" s="113"/>
      <c r="AG204" s="112"/>
      <c r="AH204" s="112"/>
      <c r="AI204" s="112"/>
      <c r="AJ204" s="112"/>
      <c r="AK204" s="112"/>
      <c r="AL204" s="112"/>
      <c r="AM204" s="112"/>
      <c r="AN204" s="255"/>
      <c r="AO204" s="251"/>
      <c r="AP204" s="112"/>
      <c r="AQ204" s="112"/>
      <c r="AR204" s="112"/>
      <c r="AS204" s="112"/>
      <c r="AT204" s="112"/>
      <c r="AU204" s="112"/>
      <c r="AV204" s="112"/>
      <c r="AW204" s="112"/>
      <c r="AX204" s="112"/>
      <c r="AY204" s="96"/>
      <c r="AZ204" s="112"/>
      <c r="BA204" s="11"/>
      <c r="BB204" s="11"/>
      <c r="BC204" s="112"/>
      <c r="BD204" s="112"/>
      <c r="BE204" s="112"/>
      <c r="BF204" s="112"/>
      <c r="BG204" s="112"/>
      <c r="BH204" s="112"/>
      <c r="BI204" s="112"/>
      <c r="BJ204" s="112"/>
      <c r="BK204" s="112"/>
      <c r="BL204" s="112"/>
      <c r="BM204" s="112"/>
      <c r="BN204" s="112"/>
      <c r="BO204" s="112"/>
      <c r="BP204" s="112"/>
      <c r="BQ204" s="112"/>
      <c r="BR204" s="112"/>
      <c r="BS204" s="11"/>
      <c r="BT204" s="11"/>
      <c r="BU204" s="11"/>
      <c r="BV204" s="11"/>
      <c r="BW204" s="112"/>
      <c r="BX204" s="112"/>
      <c r="BY204" s="96"/>
      <c r="BZ204" s="112"/>
      <c r="CA204" s="112"/>
      <c r="CB204" s="112"/>
      <c r="CC204" s="112"/>
      <c r="CD204" s="112"/>
      <c r="CE204" s="112"/>
      <c r="CF204" s="112"/>
      <c r="CG204" s="96"/>
      <c r="CH204" s="112"/>
      <c r="CI204" s="112"/>
      <c r="CJ204" s="96"/>
      <c r="CK204" s="96"/>
      <c r="CL204" s="112"/>
      <c r="CM204" s="96"/>
      <c r="CN204" s="96"/>
      <c r="CO204" s="112"/>
      <c r="CP204" s="112"/>
      <c r="CQ204" s="96"/>
      <c r="CR204" s="112"/>
      <c r="CS204" s="112"/>
      <c r="CT204" s="112"/>
      <c r="CU204" s="112"/>
      <c r="CV204" s="112"/>
      <c r="CW204" s="112"/>
      <c r="CX204" s="112"/>
      <c r="CY204" s="112"/>
      <c r="CZ204" s="112"/>
      <c r="DA204" s="26"/>
      <c r="DB204" s="42"/>
      <c r="DC204" s="43"/>
      <c r="DD204" s="62"/>
      <c r="DE204" s="62"/>
      <c r="DF204" s="4"/>
      <c r="DG204" s="4"/>
      <c r="DH204" s="4"/>
      <c r="DI204" s="4"/>
      <c r="DJ204" s="62"/>
      <c r="DK204" s="62"/>
      <c r="DL204" s="209"/>
      <c r="DM204" s="62"/>
      <c r="DN204" s="13"/>
      <c r="DO204" s="7">
        <v>134</v>
      </c>
      <c r="DP204" s="103"/>
      <c r="DQ204" s="19"/>
      <c r="DR204" s="19"/>
      <c r="DS204" s="123"/>
      <c r="DT204" s="130"/>
      <c r="DU204" s="132"/>
      <c r="DV204" s="132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</row>
    <row r="205" spans="1:137" x14ac:dyDescent="0.2">
      <c r="A205" s="7"/>
      <c r="B205" s="118"/>
      <c r="C205" s="19"/>
      <c r="D205" s="19"/>
      <c r="E205" s="82"/>
      <c r="F205" s="82"/>
      <c r="G205" s="9"/>
      <c r="H205" s="93"/>
      <c r="I205" s="47"/>
      <c r="J205" s="11"/>
      <c r="K205" s="20"/>
      <c r="L205" s="20"/>
      <c r="M205" s="20"/>
      <c r="N205" s="20"/>
      <c r="O205" s="20"/>
      <c r="P205" s="20"/>
      <c r="Q205" s="20"/>
      <c r="R205" s="20"/>
      <c r="S205" s="96"/>
      <c r="T205" s="20"/>
      <c r="U205" s="20"/>
      <c r="V205" s="11"/>
      <c r="W205" s="11"/>
      <c r="X205" s="96"/>
      <c r="Y205" s="20"/>
      <c r="Z205" s="20"/>
      <c r="AA205" s="96"/>
      <c r="AB205" s="20"/>
      <c r="AC205" s="20"/>
      <c r="AD205" s="96"/>
      <c r="AE205" s="110"/>
      <c r="AF205" s="110"/>
      <c r="AG205" s="20"/>
      <c r="AH205" s="20"/>
      <c r="AI205" s="20"/>
      <c r="AJ205" s="20"/>
      <c r="AK205" s="20"/>
      <c r="AL205" s="20"/>
      <c r="AM205" s="20"/>
      <c r="AN205" s="254"/>
      <c r="AO205" s="251"/>
      <c r="AP205" s="20"/>
      <c r="AQ205" s="20"/>
      <c r="AR205" s="20"/>
      <c r="AS205" s="20"/>
      <c r="AT205" s="20"/>
      <c r="AU205" s="20"/>
      <c r="AV205" s="20"/>
      <c r="AW205" s="20"/>
      <c r="AX205" s="20"/>
      <c r="AY205" s="96"/>
      <c r="AZ205" s="112"/>
      <c r="BA205" s="11"/>
      <c r="BB205" s="11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112"/>
      <c r="BN205" s="20"/>
      <c r="BO205" s="20"/>
      <c r="BP205" s="20"/>
      <c r="BQ205" s="20"/>
      <c r="BR205" s="20"/>
      <c r="BS205" s="11"/>
      <c r="BT205" s="11"/>
      <c r="BU205" s="11"/>
      <c r="BV205" s="11"/>
      <c r="BW205" s="20"/>
      <c r="BX205" s="20"/>
      <c r="BY205" s="96"/>
      <c r="BZ205" s="112"/>
      <c r="CA205" s="20"/>
      <c r="CB205" s="20"/>
      <c r="CC205" s="20"/>
      <c r="CD205" s="20"/>
      <c r="CE205" s="20"/>
      <c r="CF205" s="20"/>
      <c r="CG205" s="96"/>
      <c r="CH205" s="20"/>
      <c r="CI205" s="20"/>
      <c r="CJ205" s="96"/>
      <c r="CK205" s="96"/>
      <c r="CL205" s="20"/>
      <c r="CM205" s="11"/>
      <c r="CN205" s="96"/>
      <c r="CO205" s="112"/>
      <c r="CP205" s="112"/>
      <c r="CQ205" s="96"/>
      <c r="CR205" s="112"/>
      <c r="CS205" s="112"/>
      <c r="CT205" s="112"/>
      <c r="CU205" s="20"/>
      <c r="CV205" s="20"/>
      <c r="CW205" s="20"/>
      <c r="CX205" s="112"/>
      <c r="CY205" s="112"/>
      <c r="CZ205" s="20"/>
      <c r="DA205" s="26"/>
      <c r="DB205" s="42"/>
      <c r="DC205" s="43"/>
      <c r="DD205" s="62"/>
      <c r="DE205" s="62"/>
      <c r="DF205" s="4"/>
      <c r="DG205" s="4"/>
      <c r="DH205" s="4"/>
      <c r="DI205" s="4"/>
      <c r="DJ205" s="62"/>
      <c r="DK205" s="62"/>
      <c r="DL205" s="209"/>
      <c r="DM205" s="62"/>
      <c r="DN205" s="13"/>
      <c r="DO205" s="7">
        <v>135</v>
      </c>
      <c r="DP205" s="103"/>
      <c r="DQ205" s="19"/>
      <c r="DR205" s="19"/>
      <c r="DS205" s="123"/>
      <c r="DT205" s="130"/>
      <c r="DU205" s="132"/>
      <c r="DV205" s="132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</row>
    <row r="206" spans="1:137" x14ac:dyDescent="0.2">
      <c r="A206" s="7"/>
      <c r="B206" s="103"/>
      <c r="C206" s="19"/>
      <c r="D206" s="19"/>
      <c r="E206" s="82"/>
      <c r="F206" s="82"/>
      <c r="G206" s="9"/>
      <c r="H206" s="93"/>
      <c r="I206" s="47"/>
      <c r="J206" s="20"/>
      <c r="K206" s="112"/>
      <c r="L206" s="112"/>
      <c r="M206" s="112"/>
      <c r="N206" s="112"/>
      <c r="O206" s="112"/>
      <c r="P206" s="112"/>
      <c r="Q206" s="112"/>
      <c r="R206" s="112"/>
      <c r="S206" s="96"/>
      <c r="T206" s="112"/>
      <c r="U206" s="112"/>
      <c r="V206" s="112"/>
      <c r="W206" s="112"/>
      <c r="X206" s="96"/>
      <c r="Y206" s="112"/>
      <c r="Z206" s="112"/>
      <c r="AA206" s="96"/>
      <c r="AB206" s="112"/>
      <c r="AC206" s="112"/>
      <c r="AD206" s="96"/>
      <c r="AE206" s="112"/>
      <c r="AF206" s="113"/>
      <c r="AG206" s="112"/>
      <c r="AH206" s="112"/>
      <c r="AI206" s="112"/>
      <c r="AJ206" s="112"/>
      <c r="AK206" s="112"/>
      <c r="AL206" s="112"/>
      <c r="AM206" s="112"/>
      <c r="AN206" s="255"/>
      <c r="AO206" s="251"/>
      <c r="AP206" s="112"/>
      <c r="AQ206" s="112"/>
      <c r="AR206" s="112"/>
      <c r="AS206" s="112"/>
      <c r="AT206" s="112"/>
      <c r="AU206" s="112"/>
      <c r="AV206" s="112"/>
      <c r="AW206" s="112"/>
      <c r="AX206" s="112"/>
      <c r="AY206" s="96"/>
      <c r="AZ206" s="112"/>
      <c r="BA206" s="11"/>
      <c r="BB206" s="11"/>
      <c r="BC206" s="112"/>
      <c r="BD206" s="112"/>
      <c r="BE206" s="112"/>
      <c r="BF206" s="112"/>
      <c r="BG206" s="112"/>
      <c r="BH206" s="112"/>
      <c r="BI206" s="112"/>
      <c r="BJ206" s="112"/>
      <c r="BK206" s="112"/>
      <c r="BL206" s="112"/>
      <c r="BM206" s="112"/>
      <c r="BN206" s="112"/>
      <c r="BO206" s="112"/>
      <c r="BP206" s="112"/>
      <c r="BQ206" s="112"/>
      <c r="BR206" s="112"/>
      <c r="BS206" s="11"/>
      <c r="BT206" s="11"/>
      <c r="BU206" s="11"/>
      <c r="BV206" s="11"/>
      <c r="BW206" s="112"/>
      <c r="BX206" s="112"/>
      <c r="BY206" s="96"/>
      <c r="BZ206" s="112"/>
      <c r="CA206" s="112"/>
      <c r="CB206" s="112"/>
      <c r="CC206" s="112"/>
      <c r="CD206" s="112"/>
      <c r="CE206" s="112"/>
      <c r="CF206" s="112"/>
      <c r="CG206" s="96"/>
      <c r="CH206" s="112"/>
      <c r="CI206" s="112"/>
      <c r="CJ206" s="96"/>
      <c r="CK206" s="96"/>
      <c r="CL206" s="112"/>
      <c r="CM206" s="96"/>
      <c r="CN206" s="96"/>
      <c r="CO206" s="112"/>
      <c r="CP206" s="112"/>
      <c r="CQ206" s="112"/>
      <c r="CR206" s="112"/>
      <c r="CS206" s="112"/>
      <c r="CT206" s="112"/>
      <c r="CU206" s="112"/>
      <c r="CV206" s="112"/>
      <c r="CW206" s="112"/>
      <c r="CX206" s="112"/>
      <c r="CY206" s="112"/>
      <c r="CZ206" s="112"/>
      <c r="DA206" s="26"/>
      <c r="DB206" s="42"/>
      <c r="DC206" s="43"/>
      <c r="DD206" s="62"/>
      <c r="DE206" s="62"/>
      <c r="DF206" s="4"/>
      <c r="DG206" s="4"/>
      <c r="DH206" s="4"/>
      <c r="DI206" s="4"/>
      <c r="DJ206" s="62"/>
      <c r="DK206" s="62"/>
      <c r="DL206" s="209"/>
      <c r="DM206" s="62"/>
      <c r="DN206" s="13"/>
      <c r="DO206" s="7">
        <v>136</v>
      </c>
      <c r="DP206" s="103"/>
      <c r="DQ206" s="19"/>
      <c r="DR206" s="19"/>
      <c r="DS206" s="123"/>
      <c r="DT206" s="130"/>
      <c r="DU206" s="132"/>
      <c r="DV206" s="132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</row>
    <row r="207" spans="1:137" x14ac:dyDescent="0.2">
      <c r="A207" s="7"/>
      <c r="B207" s="16"/>
      <c r="C207" s="19"/>
      <c r="D207" s="19"/>
      <c r="E207" s="82"/>
      <c r="F207" s="82"/>
      <c r="G207" s="9"/>
      <c r="H207" s="93"/>
      <c r="I207" s="47"/>
      <c r="J207" s="20"/>
      <c r="K207" s="20"/>
      <c r="L207" s="20"/>
      <c r="M207" s="20"/>
      <c r="N207" s="20"/>
      <c r="O207" s="20"/>
      <c r="P207" s="20"/>
      <c r="Q207" s="20"/>
      <c r="R207" s="20"/>
      <c r="S207" s="96"/>
      <c r="T207" s="20"/>
      <c r="U207" s="20"/>
      <c r="V207" s="20"/>
      <c r="W207" s="20"/>
      <c r="X207" s="96"/>
      <c r="Y207" s="20"/>
      <c r="Z207" s="20"/>
      <c r="AA207" s="96"/>
      <c r="AB207" s="20"/>
      <c r="AC207" s="20"/>
      <c r="AD207" s="96"/>
      <c r="AE207" s="20"/>
      <c r="AF207" s="94"/>
      <c r="AG207" s="20"/>
      <c r="AH207" s="20"/>
      <c r="AI207" s="20"/>
      <c r="AJ207" s="20"/>
      <c r="AK207" s="20"/>
      <c r="AL207" s="20"/>
      <c r="AM207" s="20"/>
      <c r="AN207" s="254"/>
      <c r="AO207" s="251"/>
      <c r="AP207" s="20"/>
      <c r="AQ207" s="20"/>
      <c r="AR207" s="20"/>
      <c r="AS207" s="20"/>
      <c r="AT207" s="20"/>
      <c r="AU207" s="20"/>
      <c r="AV207" s="20"/>
      <c r="AW207" s="20"/>
      <c r="AX207" s="20"/>
      <c r="AY207" s="96"/>
      <c r="AZ207" s="112"/>
      <c r="BA207" s="11"/>
      <c r="BB207" s="11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112"/>
      <c r="BN207" s="20"/>
      <c r="BO207" s="20"/>
      <c r="BP207" s="20"/>
      <c r="BQ207" s="20"/>
      <c r="BR207" s="20"/>
      <c r="BS207" s="11"/>
      <c r="BT207" s="11"/>
      <c r="BU207" s="11"/>
      <c r="BV207" s="11"/>
      <c r="BW207" s="20"/>
      <c r="BX207" s="20"/>
      <c r="BY207" s="96"/>
      <c r="BZ207" s="112"/>
      <c r="CA207" s="20"/>
      <c r="CB207" s="20"/>
      <c r="CC207" s="20"/>
      <c r="CD207" s="20"/>
      <c r="CE207" s="20"/>
      <c r="CF207" s="20"/>
      <c r="CG207" s="96"/>
      <c r="CH207" s="20"/>
      <c r="CI207" s="20"/>
      <c r="CJ207" s="96"/>
      <c r="CK207" s="96"/>
      <c r="CL207" s="20"/>
      <c r="CM207" s="11"/>
      <c r="CN207" s="11"/>
      <c r="CO207" s="20"/>
      <c r="CP207" s="20"/>
      <c r="CQ207" s="11"/>
      <c r="CR207" s="20"/>
      <c r="CS207" s="20"/>
      <c r="CT207" s="20"/>
      <c r="CU207" s="20"/>
      <c r="CV207" s="20"/>
      <c r="CW207" s="20"/>
      <c r="CX207" s="20"/>
      <c r="CY207" s="20"/>
      <c r="CZ207" s="20"/>
      <c r="DA207" s="26"/>
      <c r="DB207" s="42"/>
      <c r="DC207" s="43"/>
      <c r="DD207" s="62"/>
      <c r="DE207" s="62"/>
      <c r="DF207" s="4"/>
      <c r="DG207" s="4"/>
      <c r="DH207" s="4"/>
      <c r="DI207" s="4"/>
      <c r="DJ207" s="62"/>
      <c r="DK207" s="62"/>
      <c r="DL207" s="209"/>
      <c r="DM207" s="62"/>
      <c r="DN207" s="13"/>
      <c r="DO207" s="7">
        <v>137</v>
      </c>
      <c r="DP207" s="103"/>
      <c r="DQ207" s="19"/>
      <c r="DR207" s="19"/>
      <c r="DS207" s="123"/>
      <c r="DT207" s="130"/>
      <c r="DU207" s="132"/>
      <c r="DV207" s="130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</row>
    <row r="208" spans="1:137" x14ac:dyDescent="0.2">
      <c r="A208" s="7"/>
      <c r="B208" s="18"/>
      <c r="C208" s="19"/>
      <c r="D208" s="19"/>
      <c r="E208" s="82"/>
      <c r="F208" s="82"/>
      <c r="G208" s="9"/>
      <c r="H208" s="93"/>
      <c r="I208" s="47"/>
      <c r="J208" s="20"/>
      <c r="K208" s="112"/>
      <c r="L208" s="112"/>
      <c r="M208" s="112"/>
      <c r="N208" s="112"/>
      <c r="O208" s="112"/>
      <c r="P208" s="112"/>
      <c r="Q208" s="112"/>
      <c r="R208" s="112"/>
      <c r="S208" s="96"/>
      <c r="T208" s="112"/>
      <c r="U208" s="112"/>
      <c r="V208" s="112"/>
      <c r="W208" s="112"/>
      <c r="X208" s="96"/>
      <c r="Y208" s="112"/>
      <c r="Z208" s="112"/>
      <c r="AA208" s="96"/>
      <c r="AB208" s="112"/>
      <c r="AC208" s="112"/>
      <c r="AD208" s="96"/>
      <c r="AE208" s="112"/>
      <c r="AF208" s="113"/>
      <c r="AG208" s="112"/>
      <c r="AH208" s="20"/>
      <c r="AI208" s="112"/>
      <c r="AJ208" s="112"/>
      <c r="AK208" s="112"/>
      <c r="AL208" s="112"/>
      <c r="AM208" s="112"/>
      <c r="AN208" s="255"/>
      <c r="AO208" s="251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96"/>
      <c r="AZ208" s="112"/>
      <c r="BA208" s="11"/>
      <c r="BB208" s="11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2"/>
      <c r="BM208" s="112"/>
      <c r="BN208" s="112"/>
      <c r="BO208" s="112"/>
      <c r="BP208" s="112"/>
      <c r="BQ208" s="112"/>
      <c r="BR208" s="112"/>
      <c r="BS208" s="11"/>
      <c r="BT208" s="11"/>
      <c r="BU208" s="11"/>
      <c r="BV208" s="11"/>
      <c r="BW208" s="112"/>
      <c r="BX208" s="112"/>
      <c r="BY208" s="96"/>
      <c r="BZ208" s="112"/>
      <c r="CA208" s="112"/>
      <c r="CB208" s="20"/>
      <c r="CC208" s="112"/>
      <c r="CD208" s="112"/>
      <c r="CE208" s="20"/>
      <c r="CF208" s="20"/>
      <c r="CG208" s="11"/>
      <c r="CH208" s="112"/>
      <c r="CI208" s="112"/>
      <c r="CJ208" s="96"/>
      <c r="CK208" s="96"/>
      <c r="CL208" s="112"/>
      <c r="CM208" s="96"/>
      <c r="CN208" s="96"/>
      <c r="CO208" s="112"/>
      <c r="CP208" s="112"/>
      <c r="CQ208" s="112"/>
      <c r="CR208" s="112"/>
      <c r="CS208" s="112"/>
      <c r="CT208" s="112"/>
      <c r="CU208" s="112"/>
      <c r="CV208" s="112"/>
      <c r="CW208" s="112"/>
      <c r="CX208" s="112"/>
      <c r="CY208" s="112"/>
      <c r="CZ208" s="112"/>
      <c r="DA208" s="26"/>
      <c r="DB208" s="42"/>
      <c r="DC208" s="43"/>
      <c r="DD208" s="62"/>
      <c r="DE208" s="62"/>
      <c r="DF208" s="4"/>
      <c r="DG208" s="4"/>
      <c r="DH208" s="4"/>
      <c r="DI208" s="4"/>
      <c r="DJ208" s="62"/>
      <c r="DK208" s="62"/>
      <c r="DL208" s="209"/>
      <c r="DM208" s="62"/>
      <c r="DN208" s="13"/>
      <c r="DO208" s="7">
        <v>138</v>
      </c>
      <c r="DP208" s="103"/>
      <c r="DQ208" s="19"/>
      <c r="DR208" s="19"/>
      <c r="DS208" s="123"/>
      <c r="DT208" s="130"/>
      <c r="DU208" s="132"/>
      <c r="DV208" s="130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</row>
    <row r="209" spans="1:138" x14ac:dyDescent="0.2">
      <c r="A209" s="7"/>
      <c r="B209" s="118"/>
      <c r="C209" s="19"/>
      <c r="D209" s="19"/>
      <c r="E209" s="82"/>
      <c r="F209" s="82"/>
      <c r="G209" s="9"/>
      <c r="H209" s="93"/>
      <c r="I209" s="47"/>
      <c r="J209" s="20"/>
      <c r="K209" s="20"/>
      <c r="L209" s="112"/>
      <c r="M209" s="112"/>
      <c r="N209" s="20"/>
      <c r="O209" s="20"/>
      <c r="P209" s="20"/>
      <c r="Q209" s="20"/>
      <c r="R209" s="20"/>
      <c r="S209" s="96"/>
      <c r="T209" s="20"/>
      <c r="U209" s="20"/>
      <c r="V209" s="20"/>
      <c r="W209" s="20"/>
      <c r="X209" s="96"/>
      <c r="Y209" s="20"/>
      <c r="Z209" s="20"/>
      <c r="AA209" s="96"/>
      <c r="AB209" s="20"/>
      <c r="AC209" s="20"/>
      <c r="AD209" s="96"/>
      <c r="AE209" s="20"/>
      <c r="AF209" s="113"/>
      <c r="AG209" s="20"/>
      <c r="AH209" s="20"/>
      <c r="AI209" s="20"/>
      <c r="AJ209" s="20"/>
      <c r="AK209" s="20"/>
      <c r="AL209" s="20"/>
      <c r="AM209" s="20"/>
      <c r="AN209" s="254"/>
      <c r="AO209" s="251"/>
      <c r="AP209" s="20"/>
      <c r="AQ209" s="20"/>
      <c r="AR209" s="20"/>
      <c r="AS209" s="20"/>
      <c r="AT209" s="20"/>
      <c r="AU209" s="20"/>
      <c r="AV209" s="20"/>
      <c r="AW209" s="20"/>
      <c r="AX209" s="20"/>
      <c r="AY209" s="96"/>
      <c r="AZ209" s="112"/>
      <c r="BA209" s="11"/>
      <c r="BB209" s="11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112"/>
      <c r="BN209" s="20"/>
      <c r="BO209" s="20"/>
      <c r="BP209" s="20"/>
      <c r="BQ209" s="20"/>
      <c r="BR209" s="20"/>
      <c r="BS209" s="11"/>
      <c r="BT209" s="11"/>
      <c r="BU209" s="11"/>
      <c r="BV209" s="11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96"/>
      <c r="CH209" s="20"/>
      <c r="CI209" s="20"/>
      <c r="CJ209" s="20"/>
      <c r="CK209" s="11"/>
      <c r="CL209" s="20"/>
      <c r="CM209" s="11"/>
      <c r="CN209" s="20"/>
      <c r="CO209" s="20"/>
      <c r="CP209" s="20"/>
      <c r="CQ209" s="11"/>
      <c r="CR209" s="112"/>
      <c r="CS209" s="112"/>
      <c r="CT209" s="112"/>
      <c r="CU209" s="112"/>
      <c r="CV209" s="112"/>
      <c r="CW209" s="112"/>
      <c r="CX209" s="20"/>
      <c r="CY209" s="20"/>
      <c r="CZ209" s="20"/>
      <c r="DA209" s="26"/>
      <c r="DB209" s="42"/>
      <c r="DC209" s="43"/>
      <c r="DD209" s="62"/>
      <c r="DE209" s="62"/>
      <c r="DF209" s="4"/>
      <c r="DG209" s="4"/>
      <c r="DH209" s="4"/>
      <c r="DI209" s="4"/>
      <c r="DJ209" s="62"/>
      <c r="DK209" s="62"/>
      <c r="DL209" s="209"/>
      <c r="DM209" s="62"/>
      <c r="DN209" s="13"/>
      <c r="DO209" s="7">
        <v>139</v>
      </c>
      <c r="DP209" s="103"/>
      <c r="DQ209" s="19"/>
      <c r="DR209" s="19"/>
      <c r="DS209" s="123"/>
      <c r="DT209" s="130"/>
      <c r="DU209" s="132"/>
      <c r="DV209" s="132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</row>
    <row r="210" spans="1:138" x14ac:dyDescent="0.2">
      <c r="A210" s="7"/>
      <c r="B210" s="103"/>
      <c r="C210" s="19"/>
      <c r="D210" s="19"/>
      <c r="E210" s="82"/>
      <c r="F210" s="82"/>
      <c r="G210" s="9"/>
      <c r="H210" s="93"/>
      <c r="I210" s="47"/>
      <c r="J210" s="20"/>
      <c r="K210" s="112"/>
      <c r="L210" s="112"/>
      <c r="M210" s="112"/>
      <c r="N210" s="112"/>
      <c r="O210" s="112"/>
      <c r="P210" s="112"/>
      <c r="Q210" s="112"/>
      <c r="R210" s="112"/>
      <c r="S210" s="96"/>
      <c r="T210" s="112"/>
      <c r="U210" s="112"/>
      <c r="V210" s="112"/>
      <c r="W210" s="112"/>
      <c r="X210" s="96"/>
      <c r="Y210" s="112"/>
      <c r="Z210" s="112"/>
      <c r="AA210" s="96"/>
      <c r="AB210" s="112"/>
      <c r="AC210" s="112"/>
      <c r="AD210" s="96"/>
      <c r="AE210" s="112"/>
      <c r="AF210" s="113"/>
      <c r="AG210" s="112"/>
      <c r="AH210" s="112"/>
      <c r="AI210" s="112"/>
      <c r="AJ210" s="112"/>
      <c r="AK210" s="112"/>
      <c r="AL210" s="112"/>
      <c r="AM210" s="112"/>
      <c r="AN210" s="255"/>
      <c r="AO210" s="251"/>
      <c r="AP210" s="112"/>
      <c r="AQ210" s="112"/>
      <c r="AR210" s="112"/>
      <c r="AS210" s="112"/>
      <c r="AT210" s="112"/>
      <c r="AU210" s="112"/>
      <c r="AV210" s="112"/>
      <c r="AW210" s="112"/>
      <c r="AX210" s="112"/>
      <c r="AY210" s="96"/>
      <c r="AZ210" s="112"/>
      <c r="BA210" s="11"/>
      <c r="BB210" s="11"/>
      <c r="BC210" s="112"/>
      <c r="BD210" s="112"/>
      <c r="BE210" s="112"/>
      <c r="BF210" s="112"/>
      <c r="BG210" s="112"/>
      <c r="BH210" s="112"/>
      <c r="BI210" s="112"/>
      <c r="BJ210" s="112"/>
      <c r="BK210" s="112"/>
      <c r="BL210" s="112"/>
      <c r="BM210" s="112"/>
      <c r="BN210" s="112"/>
      <c r="BO210" s="112"/>
      <c r="BP210" s="112"/>
      <c r="BQ210" s="112"/>
      <c r="BR210" s="112"/>
      <c r="BS210" s="11"/>
      <c r="BT210" s="11"/>
      <c r="BU210" s="11"/>
      <c r="BV210" s="11"/>
      <c r="BW210" s="112"/>
      <c r="BX210" s="112"/>
      <c r="BY210" s="112"/>
      <c r="BZ210" s="112"/>
      <c r="CA210" s="112"/>
      <c r="CB210" s="112"/>
      <c r="CC210" s="112"/>
      <c r="CD210" s="112"/>
      <c r="CE210" s="112"/>
      <c r="CF210" s="112"/>
      <c r="CG210" s="96"/>
      <c r="CH210" s="112"/>
      <c r="CI210" s="112"/>
      <c r="CJ210" s="112"/>
      <c r="CK210" s="112"/>
      <c r="CL210" s="112"/>
      <c r="CM210" s="96"/>
      <c r="CN210" s="112"/>
      <c r="CO210" s="112"/>
      <c r="CP210" s="112"/>
      <c r="CQ210" s="112"/>
      <c r="CR210" s="112"/>
      <c r="CS210" s="112"/>
      <c r="CT210" s="112"/>
      <c r="CU210" s="112"/>
      <c r="CV210" s="112"/>
      <c r="CW210" s="112"/>
      <c r="CX210" s="112"/>
      <c r="CY210" s="112"/>
      <c r="CZ210" s="112"/>
      <c r="DA210" s="26"/>
      <c r="DB210" s="42"/>
      <c r="DC210" s="43"/>
      <c r="DD210" s="62"/>
      <c r="DE210" s="62"/>
      <c r="DF210" s="4"/>
      <c r="DG210" s="4"/>
      <c r="DH210" s="4"/>
      <c r="DI210" s="4"/>
      <c r="DJ210" s="62"/>
      <c r="DK210" s="62"/>
      <c r="DL210" s="209"/>
      <c r="DM210" s="62"/>
      <c r="DN210" s="13"/>
      <c r="DO210" s="7">
        <v>140</v>
      </c>
      <c r="DP210" s="16"/>
      <c r="DQ210" s="19"/>
      <c r="DR210" s="19"/>
      <c r="DS210" s="123"/>
      <c r="DT210" s="130"/>
      <c r="DU210" s="132"/>
      <c r="DV210" s="130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</row>
    <row r="211" spans="1:138" x14ac:dyDescent="0.2">
      <c r="A211" s="7"/>
      <c r="B211" s="190"/>
      <c r="C211" s="19"/>
      <c r="D211" s="19"/>
      <c r="E211" s="82"/>
      <c r="F211" s="82"/>
      <c r="G211" s="9"/>
      <c r="H211" s="93"/>
      <c r="I211" s="47"/>
      <c r="J211" s="20"/>
      <c r="K211" s="20"/>
      <c r="L211" s="20"/>
      <c r="M211" s="20"/>
      <c r="N211" s="20"/>
      <c r="O211" s="20"/>
      <c r="P211" s="20"/>
      <c r="Q211" s="20"/>
      <c r="R211" s="20"/>
      <c r="S211" s="11"/>
      <c r="T211" s="112"/>
      <c r="U211" s="20"/>
      <c r="V211" s="20"/>
      <c r="W211" s="20"/>
      <c r="X211" s="96"/>
      <c r="Y211" s="112"/>
      <c r="Z211" s="112"/>
      <c r="AA211" s="96"/>
      <c r="AB211" s="112"/>
      <c r="AC211" s="112"/>
      <c r="AD211" s="96"/>
      <c r="AE211" s="112"/>
      <c r="AF211" s="113"/>
      <c r="AG211" s="20"/>
      <c r="AH211" s="20"/>
      <c r="AI211" s="20"/>
      <c r="AJ211" s="20"/>
      <c r="AK211" s="20"/>
      <c r="AL211" s="20"/>
      <c r="AM211" s="20"/>
      <c r="AN211" s="254"/>
      <c r="AO211" s="251"/>
      <c r="AP211" s="20"/>
      <c r="AQ211" s="20"/>
      <c r="AR211" s="20"/>
      <c r="AS211" s="20"/>
      <c r="AT211" s="20"/>
      <c r="AU211" s="20"/>
      <c r="AV211" s="20"/>
      <c r="AW211" s="20"/>
      <c r="AX211" s="20"/>
      <c r="AY211" s="11"/>
      <c r="AZ211" s="112"/>
      <c r="BA211" s="11"/>
      <c r="BB211" s="11"/>
      <c r="BC211" s="112"/>
      <c r="BD211" s="20"/>
      <c r="BE211" s="112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11"/>
      <c r="BT211" s="11"/>
      <c r="BU211" s="11"/>
      <c r="BV211" s="11"/>
      <c r="BW211" s="112"/>
      <c r="BX211" s="20"/>
      <c r="BY211" s="20"/>
      <c r="BZ211" s="20"/>
      <c r="CA211" s="20"/>
      <c r="CB211" s="20"/>
      <c r="CC211" s="20"/>
      <c r="CD211" s="20"/>
      <c r="CE211" s="20"/>
      <c r="CF211" s="20"/>
      <c r="CG211" s="96"/>
      <c r="CH211" s="11"/>
      <c r="CI211" s="20"/>
      <c r="CJ211" s="20"/>
      <c r="CK211" s="20"/>
      <c r="CL211" s="20"/>
      <c r="CM211" s="11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112"/>
      <c r="CY211" s="112"/>
      <c r="CZ211" s="20"/>
      <c r="DA211" s="26"/>
      <c r="DB211" s="42"/>
      <c r="DC211" s="43"/>
      <c r="DD211" s="62"/>
      <c r="DE211" s="62"/>
      <c r="DF211" s="4"/>
      <c r="DG211" s="4"/>
      <c r="DH211" s="4"/>
      <c r="DI211" s="4"/>
      <c r="DJ211" s="62"/>
      <c r="DK211" s="62"/>
      <c r="DL211" s="209"/>
      <c r="DM211" s="62"/>
      <c r="DN211" s="13"/>
      <c r="DO211" s="7">
        <v>141</v>
      </c>
      <c r="DP211" s="103"/>
      <c r="DQ211" s="19"/>
      <c r="DR211" s="19"/>
      <c r="DS211" s="123"/>
      <c r="DT211" s="130"/>
      <c r="DU211" s="130"/>
      <c r="DV211" s="132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</row>
    <row r="212" spans="1:138" x14ac:dyDescent="0.2">
      <c r="A212" s="7"/>
      <c r="B212" s="103"/>
      <c r="C212" s="19"/>
      <c r="D212" s="19"/>
      <c r="E212" s="82"/>
      <c r="F212" s="82"/>
      <c r="G212" s="9"/>
      <c r="H212" s="93"/>
      <c r="I212" s="47"/>
      <c r="J212" s="112"/>
      <c r="K212" s="112"/>
      <c r="L212" s="112"/>
      <c r="M212" s="112"/>
      <c r="N212" s="112"/>
      <c r="O212" s="112"/>
      <c r="P212" s="112"/>
      <c r="Q212" s="112"/>
      <c r="R212" s="112"/>
      <c r="S212" s="96"/>
      <c r="T212" s="112"/>
      <c r="U212" s="96"/>
      <c r="V212" s="112"/>
      <c r="W212" s="96"/>
      <c r="X212" s="96"/>
      <c r="Y212" s="112"/>
      <c r="Z212" s="112"/>
      <c r="AA212" s="96"/>
      <c r="AB212" s="112"/>
      <c r="AC212" s="112"/>
      <c r="AD212" s="96"/>
      <c r="AE212" s="112"/>
      <c r="AF212" s="113"/>
      <c r="AG212" s="112"/>
      <c r="AH212" s="112"/>
      <c r="AI212" s="112"/>
      <c r="AJ212" s="112"/>
      <c r="AK212" s="112"/>
      <c r="AL212" s="112"/>
      <c r="AM212" s="112"/>
      <c r="AN212" s="255"/>
      <c r="AO212" s="251"/>
      <c r="AP212" s="112"/>
      <c r="AQ212" s="112"/>
      <c r="AR212" s="112"/>
      <c r="AS212" s="112"/>
      <c r="AT212" s="112"/>
      <c r="AU212" s="112"/>
      <c r="AV212" s="112"/>
      <c r="AW212" s="112"/>
      <c r="AX212" s="112"/>
      <c r="AY212" s="96"/>
      <c r="AZ212" s="112"/>
      <c r="BA212" s="11"/>
      <c r="BB212" s="11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12"/>
      <c r="BM212" s="112"/>
      <c r="BN212" s="112"/>
      <c r="BO212" s="112"/>
      <c r="BP212" s="112"/>
      <c r="BQ212" s="112"/>
      <c r="BR212" s="112"/>
      <c r="BS212" s="11"/>
      <c r="BT212" s="11"/>
      <c r="BU212" s="11"/>
      <c r="BV212" s="11"/>
      <c r="BW212" s="112"/>
      <c r="BX212" s="112"/>
      <c r="BY212" s="112"/>
      <c r="BZ212" s="112"/>
      <c r="CA212" s="112"/>
      <c r="CB212" s="112"/>
      <c r="CC212" s="112"/>
      <c r="CD212" s="112"/>
      <c r="CE212" s="112"/>
      <c r="CF212" s="112"/>
      <c r="CG212" s="96"/>
      <c r="CH212" s="112"/>
      <c r="CI212" s="112"/>
      <c r="CJ212" s="112"/>
      <c r="CK212" s="112"/>
      <c r="CL212" s="112"/>
      <c r="CM212" s="96"/>
      <c r="CN212" s="112"/>
      <c r="CO212" s="112"/>
      <c r="CP212" s="112"/>
      <c r="CQ212" s="112"/>
      <c r="CR212" s="96"/>
      <c r="CS212" s="112"/>
      <c r="CT212" s="112"/>
      <c r="CU212" s="112"/>
      <c r="CV212" s="112"/>
      <c r="CW212" s="112"/>
      <c r="CX212" s="112"/>
      <c r="CY212" s="112"/>
      <c r="CZ212" s="112"/>
      <c r="DA212" s="26"/>
      <c r="DB212" s="42"/>
      <c r="DC212" s="43"/>
      <c r="DD212" s="62"/>
      <c r="DE212" s="62"/>
      <c r="DF212" s="4"/>
      <c r="DG212" s="4"/>
      <c r="DH212" s="4"/>
      <c r="DI212" s="4"/>
      <c r="DJ212" s="62"/>
      <c r="DK212" s="62"/>
      <c r="DL212" s="209"/>
      <c r="DM212" s="62"/>
      <c r="DN212" s="13"/>
      <c r="DO212" s="7">
        <v>142</v>
      </c>
      <c r="DP212" s="103"/>
      <c r="DQ212" s="19"/>
      <c r="DR212" s="19"/>
      <c r="DS212" s="123"/>
      <c r="DT212" s="130"/>
      <c r="DU212" s="130"/>
      <c r="DV212" s="130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</row>
    <row r="213" spans="1:138" x14ac:dyDescent="0.2">
      <c r="A213" s="7"/>
      <c r="B213" s="190"/>
      <c r="C213" s="19"/>
      <c r="D213" s="19"/>
      <c r="E213" s="82"/>
      <c r="F213" s="82"/>
      <c r="G213" s="9"/>
      <c r="H213" s="93"/>
      <c r="I213" s="47"/>
      <c r="J213" s="20"/>
      <c r="K213" s="20"/>
      <c r="L213" s="20"/>
      <c r="M213" s="20"/>
      <c r="N213" s="20"/>
      <c r="O213" s="20"/>
      <c r="P213" s="20"/>
      <c r="Q213" s="20"/>
      <c r="R213" s="20"/>
      <c r="S213" s="11"/>
      <c r="T213" s="112"/>
      <c r="U213" s="20"/>
      <c r="V213" s="20"/>
      <c r="W213" s="20"/>
      <c r="X213" s="96"/>
      <c r="Y213" s="112"/>
      <c r="Z213" s="112"/>
      <c r="AA213" s="96"/>
      <c r="AB213" s="112"/>
      <c r="AC213" s="112"/>
      <c r="AD213" s="96"/>
      <c r="AE213" s="112"/>
      <c r="AF213" s="113"/>
      <c r="AG213" s="20"/>
      <c r="AH213" s="20"/>
      <c r="AI213" s="20"/>
      <c r="AJ213" s="20"/>
      <c r="AK213" s="20"/>
      <c r="AL213" s="20"/>
      <c r="AM213" s="20"/>
      <c r="AN213" s="254"/>
      <c r="AO213" s="251"/>
      <c r="AP213" s="20"/>
      <c r="AQ213" s="20"/>
      <c r="AR213" s="20"/>
      <c r="AS213" s="20"/>
      <c r="AT213" s="20"/>
      <c r="AU213" s="20"/>
      <c r="AV213" s="20"/>
      <c r="AW213" s="20"/>
      <c r="AX213" s="20"/>
      <c r="AY213" s="11"/>
      <c r="AZ213" s="112"/>
      <c r="BA213" s="11"/>
      <c r="BB213" s="11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112"/>
      <c r="BO213" s="20"/>
      <c r="BP213" s="20"/>
      <c r="BQ213" s="20"/>
      <c r="BR213" s="20"/>
      <c r="BS213" s="11"/>
      <c r="BT213" s="11"/>
      <c r="BU213" s="11"/>
      <c r="BV213" s="11"/>
      <c r="BW213" s="112"/>
      <c r="BX213" s="20"/>
      <c r="BY213" s="20"/>
      <c r="BZ213" s="20"/>
      <c r="CA213" s="20"/>
      <c r="CB213" s="20"/>
      <c r="CC213" s="20"/>
      <c r="CD213" s="20"/>
      <c r="CE213" s="20"/>
      <c r="CF213" s="20"/>
      <c r="CG213" s="96"/>
      <c r="CH213" s="20"/>
      <c r="CI213" s="20"/>
      <c r="CJ213" s="20"/>
      <c r="CK213" s="20"/>
      <c r="CL213" s="20"/>
      <c r="CM213" s="11"/>
      <c r="CN213" s="20"/>
      <c r="CO213" s="20"/>
      <c r="CP213" s="20"/>
      <c r="CQ213" s="20"/>
      <c r="CR213" s="11"/>
      <c r="CS213" s="20"/>
      <c r="CT213" s="20"/>
      <c r="CU213" s="20"/>
      <c r="CV213" s="20"/>
      <c r="CW213" s="20"/>
      <c r="CX213" s="112"/>
      <c r="CY213" s="112"/>
      <c r="CZ213" s="20"/>
      <c r="DA213" s="26"/>
      <c r="DB213" s="42"/>
      <c r="DC213" s="43"/>
      <c r="DD213" s="62"/>
      <c r="DE213" s="62"/>
      <c r="DF213" s="4"/>
      <c r="DG213" s="4"/>
      <c r="DH213" s="4"/>
      <c r="DI213" s="4"/>
      <c r="DJ213" s="62"/>
      <c r="DK213" s="62"/>
      <c r="DL213" s="209"/>
      <c r="DM213" s="62"/>
      <c r="DN213" s="13"/>
      <c r="DO213" s="7">
        <v>143</v>
      </c>
      <c r="DP213" s="103"/>
      <c r="DQ213" s="19"/>
      <c r="DR213" s="19"/>
      <c r="DS213" s="123"/>
      <c r="DT213" s="130"/>
      <c r="DU213" s="132"/>
      <c r="DV213" s="132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</row>
    <row r="214" spans="1:138" x14ac:dyDescent="0.2">
      <c r="A214" s="7"/>
      <c r="B214" s="190"/>
      <c r="C214" s="19"/>
      <c r="D214" s="19"/>
      <c r="E214" s="82"/>
      <c r="F214" s="82"/>
      <c r="G214" s="9"/>
      <c r="H214" s="93"/>
      <c r="I214" s="47"/>
      <c r="J214" s="20"/>
      <c r="K214" s="20"/>
      <c r="L214" s="20"/>
      <c r="M214" s="20"/>
      <c r="N214" s="20"/>
      <c r="O214" s="20"/>
      <c r="P214" s="20"/>
      <c r="Q214" s="20"/>
      <c r="R214" s="20"/>
      <c r="S214" s="11"/>
      <c r="T214" s="112"/>
      <c r="U214" s="20"/>
      <c r="V214" s="20"/>
      <c r="W214" s="20"/>
      <c r="X214" s="96"/>
      <c r="Y214" s="112"/>
      <c r="Z214" s="112"/>
      <c r="AA214" s="96"/>
      <c r="AB214" s="112"/>
      <c r="AC214" s="112"/>
      <c r="AD214" s="96"/>
      <c r="AE214" s="112"/>
      <c r="AF214" s="113"/>
      <c r="AG214" s="20"/>
      <c r="AH214" s="20"/>
      <c r="AI214" s="20"/>
      <c r="AJ214" s="20"/>
      <c r="AK214" s="20"/>
      <c r="AL214" s="20"/>
      <c r="AM214" s="20"/>
      <c r="AN214" s="254"/>
      <c r="AO214" s="251"/>
      <c r="AP214" s="20"/>
      <c r="AQ214" s="11"/>
      <c r="AR214" s="20"/>
      <c r="AS214" s="20"/>
      <c r="AT214" s="20"/>
      <c r="AU214" s="20"/>
      <c r="AV214" s="20"/>
      <c r="AW214" s="20"/>
      <c r="AX214" s="20"/>
      <c r="AY214" s="11"/>
      <c r="AZ214" s="112"/>
      <c r="BA214" s="11"/>
      <c r="BB214" s="11"/>
      <c r="BC214" s="112"/>
      <c r="BD214" s="20"/>
      <c r="BE214" s="112"/>
      <c r="BF214" s="20"/>
      <c r="BG214" s="20"/>
      <c r="BH214" s="20"/>
      <c r="BI214" s="20"/>
      <c r="BJ214" s="20"/>
      <c r="BK214" s="112"/>
      <c r="BL214" s="20"/>
      <c r="BM214" s="20"/>
      <c r="BN214" s="20"/>
      <c r="BO214" s="20"/>
      <c r="BP214" s="20"/>
      <c r="BQ214" s="20"/>
      <c r="BR214" s="20"/>
      <c r="BS214" s="11"/>
      <c r="BT214" s="11"/>
      <c r="BU214" s="11"/>
      <c r="BV214" s="11"/>
      <c r="BW214" s="112"/>
      <c r="BX214" s="20"/>
      <c r="BY214" s="20"/>
      <c r="BZ214" s="20"/>
      <c r="CA214" s="20"/>
      <c r="CB214" s="20"/>
      <c r="CC214" s="20"/>
      <c r="CD214" s="20"/>
      <c r="CE214" s="20"/>
      <c r="CF214" s="20"/>
      <c r="CG214" s="96"/>
      <c r="CH214" s="20"/>
      <c r="CI214" s="20"/>
      <c r="CJ214" s="20"/>
      <c r="CK214" s="11"/>
      <c r="CL214" s="20"/>
      <c r="CM214" s="11"/>
      <c r="CN214" s="20"/>
      <c r="CO214" s="20"/>
      <c r="CP214" s="20"/>
      <c r="CQ214" s="20"/>
      <c r="CR214" s="11"/>
      <c r="CS214" s="20"/>
      <c r="CT214" s="20"/>
      <c r="CU214" s="20"/>
      <c r="CV214" s="20"/>
      <c r="CW214" s="20"/>
      <c r="CX214" s="112"/>
      <c r="CY214" s="112"/>
      <c r="CZ214" s="20"/>
      <c r="DA214" s="26"/>
      <c r="DB214" s="42"/>
      <c r="DC214" s="43"/>
      <c r="DD214" s="62"/>
      <c r="DE214" s="62"/>
      <c r="DF214" s="4"/>
      <c r="DG214" s="4"/>
      <c r="DH214" s="4"/>
      <c r="DI214" s="4"/>
      <c r="DJ214" s="62"/>
      <c r="DK214" s="62"/>
      <c r="DL214" s="209"/>
      <c r="DM214" s="62"/>
      <c r="DN214" s="13"/>
      <c r="DO214" s="7">
        <v>144</v>
      </c>
      <c r="DP214" s="103"/>
      <c r="DQ214" s="19"/>
      <c r="DR214" s="19"/>
      <c r="DS214" s="123"/>
      <c r="DT214" s="130"/>
      <c r="DU214" s="130"/>
      <c r="DV214" s="130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</row>
    <row r="215" spans="1:138" x14ac:dyDescent="0.2">
      <c r="A215" s="7"/>
      <c r="B215" s="103"/>
      <c r="C215" s="19"/>
      <c r="D215" s="19"/>
      <c r="E215" s="82"/>
      <c r="F215" s="82"/>
      <c r="G215" s="9"/>
      <c r="H215" s="93"/>
      <c r="I215" s="47"/>
      <c r="J215" s="20"/>
      <c r="K215" s="112"/>
      <c r="L215" s="112"/>
      <c r="M215" s="112"/>
      <c r="N215" s="112"/>
      <c r="O215" s="112"/>
      <c r="P215" s="112"/>
      <c r="Q215" s="112"/>
      <c r="R215" s="112"/>
      <c r="S215" s="96"/>
      <c r="T215" s="112"/>
      <c r="U215" s="112"/>
      <c r="V215" s="112"/>
      <c r="W215" s="112"/>
      <c r="X215" s="96"/>
      <c r="Y215" s="112"/>
      <c r="Z215" s="112"/>
      <c r="AA215" s="96"/>
      <c r="AB215" s="112"/>
      <c r="AC215" s="112"/>
      <c r="AD215" s="96"/>
      <c r="AE215" s="112"/>
      <c r="AF215" s="113"/>
      <c r="AG215" s="112"/>
      <c r="AH215" s="112"/>
      <c r="AI215" s="112"/>
      <c r="AJ215" s="112"/>
      <c r="AK215" s="112"/>
      <c r="AL215" s="112"/>
      <c r="AM215" s="112"/>
      <c r="AN215" s="255"/>
      <c r="AO215" s="251"/>
      <c r="AP215" s="112"/>
      <c r="AQ215" s="112"/>
      <c r="AR215" s="112"/>
      <c r="AS215" s="112"/>
      <c r="AT215" s="112"/>
      <c r="AU215" s="112"/>
      <c r="AV215" s="112"/>
      <c r="AW215" s="112"/>
      <c r="AX215" s="112"/>
      <c r="AY215" s="96"/>
      <c r="AZ215" s="112"/>
      <c r="BA215" s="11"/>
      <c r="BB215" s="11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12"/>
      <c r="BM215" s="112"/>
      <c r="BN215" s="112"/>
      <c r="BO215" s="112"/>
      <c r="BP215" s="112"/>
      <c r="BQ215" s="112"/>
      <c r="BR215" s="112"/>
      <c r="BS215" s="11"/>
      <c r="BT215" s="11"/>
      <c r="BU215" s="11"/>
      <c r="BV215" s="11"/>
      <c r="BW215" s="112"/>
      <c r="BX215" s="112"/>
      <c r="BY215" s="112"/>
      <c r="BZ215" s="112"/>
      <c r="CA215" s="112"/>
      <c r="CB215" s="112"/>
      <c r="CC215" s="112"/>
      <c r="CD215" s="112"/>
      <c r="CE215" s="112"/>
      <c r="CF215" s="112"/>
      <c r="CG215" s="96"/>
      <c r="CH215" s="112"/>
      <c r="CI215" s="112"/>
      <c r="CJ215" s="112"/>
      <c r="CK215" s="112"/>
      <c r="CL215" s="112"/>
      <c r="CM215" s="96"/>
      <c r="CN215" s="112"/>
      <c r="CO215" s="112"/>
      <c r="CP215" s="112"/>
      <c r="CQ215" s="112"/>
      <c r="CR215" s="96"/>
      <c r="CS215" s="112"/>
      <c r="CT215" s="112"/>
      <c r="CU215" s="112"/>
      <c r="CV215" s="112"/>
      <c r="CW215" s="112"/>
      <c r="CX215" s="112"/>
      <c r="CY215" s="112"/>
      <c r="CZ215" s="112"/>
      <c r="DA215" s="26"/>
      <c r="DB215" s="42"/>
      <c r="DC215" s="43"/>
      <c r="DD215" s="62"/>
      <c r="DE215" s="62"/>
      <c r="DF215" s="4"/>
      <c r="DG215" s="4"/>
      <c r="DH215" s="4"/>
      <c r="DI215" s="4"/>
      <c r="DJ215" s="62"/>
      <c r="DK215" s="62"/>
      <c r="DL215" s="209"/>
      <c r="DM215" s="62"/>
      <c r="DN215" s="13"/>
      <c r="DO215" s="7">
        <v>145</v>
      </c>
      <c r="DP215" s="103"/>
      <c r="DQ215" s="19"/>
      <c r="DR215" s="19"/>
      <c r="DS215" s="125"/>
      <c r="DT215" s="132"/>
      <c r="DU215" s="132"/>
      <c r="DV215" s="132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</row>
    <row r="216" spans="1:138" x14ac:dyDescent="0.2">
      <c r="A216" s="7"/>
      <c r="B216" s="103"/>
      <c r="C216" s="19"/>
      <c r="D216" s="19"/>
      <c r="E216" s="82"/>
      <c r="F216" s="82"/>
      <c r="G216" s="9"/>
      <c r="H216" s="93"/>
      <c r="I216" s="47"/>
      <c r="J216" s="20"/>
      <c r="K216" s="112"/>
      <c r="L216" s="112"/>
      <c r="M216" s="112"/>
      <c r="N216" s="112"/>
      <c r="O216" s="112"/>
      <c r="P216" s="112"/>
      <c r="Q216" s="112"/>
      <c r="R216" s="112"/>
      <c r="S216" s="96"/>
      <c r="T216" s="112"/>
      <c r="U216" s="112"/>
      <c r="V216" s="112"/>
      <c r="W216" s="112"/>
      <c r="X216" s="96"/>
      <c r="Y216" s="112"/>
      <c r="Z216" s="112"/>
      <c r="AA216" s="96"/>
      <c r="AB216" s="112"/>
      <c r="AC216" s="112"/>
      <c r="AD216" s="96"/>
      <c r="AE216" s="112"/>
      <c r="AF216" s="113"/>
      <c r="AG216" s="112"/>
      <c r="AH216" s="112"/>
      <c r="AI216" s="112"/>
      <c r="AJ216" s="112"/>
      <c r="AK216" s="112"/>
      <c r="AL216" s="112"/>
      <c r="AM216" s="112"/>
      <c r="AN216" s="255"/>
      <c r="AO216" s="251"/>
      <c r="AP216" s="112"/>
      <c r="AQ216" s="112"/>
      <c r="AR216" s="112"/>
      <c r="AS216" s="112"/>
      <c r="AT216" s="112"/>
      <c r="AU216" s="112"/>
      <c r="AV216" s="112"/>
      <c r="AW216" s="112"/>
      <c r="AX216" s="112"/>
      <c r="AY216" s="96"/>
      <c r="AZ216" s="112"/>
      <c r="BA216" s="11"/>
      <c r="BB216" s="11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12"/>
      <c r="BM216" s="112"/>
      <c r="BN216" s="112"/>
      <c r="BO216" s="112"/>
      <c r="BP216" s="112"/>
      <c r="BQ216" s="112"/>
      <c r="BR216" s="112"/>
      <c r="BS216" s="11"/>
      <c r="BT216" s="11"/>
      <c r="BU216" s="11"/>
      <c r="BV216" s="11"/>
      <c r="BW216" s="112"/>
      <c r="BX216" s="112"/>
      <c r="BY216" s="112"/>
      <c r="BZ216" s="112"/>
      <c r="CA216" s="112"/>
      <c r="CB216" s="112"/>
      <c r="CC216" s="112"/>
      <c r="CD216" s="112"/>
      <c r="CE216" s="112"/>
      <c r="CF216" s="112"/>
      <c r="CG216" s="96"/>
      <c r="CH216" s="112"/>
      <c r="CI216" s="112"/>
      <c r="CJ216" s="112"/>
      <c r="CK216" s="112"/>
      <c r="CL216" s="112"/>
      <c r="CM216" s="96"/>
      <c r="CN216" s="112"/>
      <c r="CO216" s="112"/>
      <c r="CP216" s="112"/>
      <c r="CQ216" s="112"/>
      <c r="CR216" s="96"/>
      <c r="CS216" s="112"/>
      <c r="CT216" s="112"/>
      <c r="CU216" s="112"/>
      <c r="CV216" s="112"/>
      <c r="CW216" s="112"/>
      <c r="CX216" s="112"/>
      <c r="CY216" s="112"/>
      <c r="CZ216" s="112"/>
      <c r="DA216" s="26"/>
      <c r="DB216" s="42"/>
      <c r="DC216" s="43"/>
      <c r="DD216" s="62"/>
      <c r="DE216" s="62"/>
      <c r="DF216" s="4"/>
      <c r="DG216" s="4"/>
      <c r="DH216" s="4"/>
      <c r="DI216" s="4"/>
      <c r="DJ216" s="62"/>
      <c r="DK216" s="62"/>
      <c r="DL216" s="209"/>
      <c r="DM216" s="62"/>
      <c r="DN216" s="13"/>
      <c r="DO216" s="7">
        <v>146</v>
      </c>
      <c r="DP216" s="103"/>
      <c r="DQ216" s="19"/>
      <c r="DR216" s="19"/>
      <c r="DS216" s="125"/>
      <c r="DT216" s="132"/>
      <c r="DU216" s="130"/>
      <c r="DV216" s="130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</row>
    <row r="217" spans="1:138" x14ac:dyDescent="0.2">
      <c r="A217" s="7"/>
      <c r="B217" s="189"/>
      <c r="C217" s="19"/>
      <c r="D217" s="19"/>
      <c r="E217" s="82"/>
      <c r="F217" s="82"/>
      <c r="G217" s="9"/>
      <c r="H217" s="93"/>
      <c r="I217" s="47"/>
      <c r="J217" s="20"/>
      <c r="K217" s="112"/>
      <c r="L217" s="112"/>
      <c r="M217" s="112"/>
      <c r="N217" s="112"/>
      <c r="O217" s="112"/>
      <c r="P217" s="112"/>
      <c r="Q217" s="112"/>
      <c r="R217" s="112"/>
      <c r="S217" s="112"/>
      <c r="T217" s="96"/>
      <c r="U217" s="112"/>
      <c r="V217" s="112"/>
      <c r="W217" s="112"/>
      <c r="X217" s="96"/>
      <c r="Y217" s="96"/>
      <c r="Z217" s="96"/>
      <c r="AA217" s="96"/>
      <c r="AB217" s="96"/>
      <c r="AC217" s="96"/>
      <c r="AD217" s="96"/>
      <c r="AE217" s="113"/>
      <c r="AF217" s="113"/>
      <c r="AG217" s="112"/>
      <c r="AH217" s="112"/>
      <c r="AI217" s="112"/>
      <c r="AJ217" s="112"/>
      <c r="AK217" s="112"/>
      <c r="AL217" s="112"/>
      <c r="AM217" s="112"/>
      <c r="AN217" s="255"/>
      <c r="AO217" s="251"/>
      <c r="AP217" s="112"/>
      <c r="AQ217" s="112"/>
      <c r="AR217" s="112"/>
      <c r="AS217" s="112"/>
      <c r="AT217" s="112"/>
      <c r="AU217" s="112"/>
      <c r="AV217" s="112"/>
      <c r="AW217" s="112"/>
      <c r="AX217" s="112"/>
      <c r="AY217" s="112"/>
      <c r="AZ217" s="96"/>
      <c r="BA217" s="11"/>
      <c r="BB217" s="11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12"/>
      <c r="BM217" s="112"/>
      <c r="BN217" s="112"/>
      <c r="BO217" s="112"/>
      <c r="BP217" s="112"/>
      <c r="BQ217" s="112"/>
      <c r="BR217" s="112"/>
      <c r="BS217" s="11"/>
      <c r="BT217" s="11"/>
      <c r="BU217" s="11"/>
      <c r="BV217" s="11"/>
      <c r="BW217" s="112"/>
      <c r="BX217" s="112"/>
      <c r="BY217" s="112"/>
      <c r="BZ217" s="112"/>
      <c r="CA217" s="112"/>
      <c r="CB217" s="112"/>
      <c r="CC217" s="112"/>
      <c r="CD217" s="112"/>
      <c r="CE217" s="112"/>
      <c r="CF217" s="112"/>
      <c r="CG217" s="96"/>
      <c r="CH217" s="112"/>
      <c r="CI217" s="112"/>
      <c r="CJ217" s="112"/>
      <c r="CK217" s="112"/>
      <c r="CL217" s="112"/>
      <c r="CM217" s="112"/>
      <c r="CN217" s="96"/>
      <c r="CO217" s="112"/>
      <c r="CP217" s="112"/>
      <c r="CQ217" s="112"/>
      <c r="CR217" s="112"/>
      <c r="CS217" s="112"/>
      <c r="CT217" s="96"/>
      <c r="CU217" s="112"/>
      <c r="CV217" s="96"/>
      <c r="CW217" s="112"/>
      <c r="CX217" s="96"/>
      <c r="CY217" s="112"/>
      <c r="CZ217" s="112"/>
      <c r="DA217" s="26"/>
      <c r="DB217" s="42"/>
      <c r="DC217" s="43"/>
      <c r="DD217" s="62"/>
      <c r="DE217" s="62"/>
      <c r="DF217" s="4"/>
      <c r="DG217" s="4"/>
      <c r="DH217" s="4"/>
      <c r="DI217" s="4"/>
      <c r="DJ217" s="62"/>
      <c r="DK217" s="62"/>
      <c r="DL217" s="209"/>
      <c r="DM217" s="62"/>
      <c r="DN217" s="13"/>
      <c r="DO217" s="7">
        <v>147</v>
      </c>
      <c r="DP217" s="103"/>
      <c r="DQ217" s="19"/>
      <c r="DR217" s="19"/>
      <c r="DS217" s="125"/>
      <c r="DT217" s="132"/>
      <c r="DU217" s="132"/>
      <c r="DV217" s="132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</row>
    <row r="218" spans="1:138" x14ac:dyDescent="0.2">
      <c r="A218" s="7"/>
      <c r="B218" s="148"/>
      <c r="C218" s="19"/>
      <c r="D218" s="19"/>
      <c r="E218" s="82"/>
      <c r="F218" s="82"/>
      <c r="G218" s="9"/>
      <c r="H218" s="93"/>
      <c r="I218" s="47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96"/>
      <c r="U218" s="20"/>
      <c r="V218" s="20"/>
      <c r="W218" s="20"/>
      <c r="X218" s="96"/>
      <c r="Y218" s="96"/>
      <c r="Z218" s="96"/>
      <c r="AA218" s="96"/>
      <c r="AB218" s="96"/>
      <c r="AC218" s="96"/>
      <c r="AD218" s="96"/>
      <c r="AE218" s="113"/>
      <c r="AF218" s="113"/>
      <c r="AG218" s="20"/>
      <c r="AH218" s="20"/>
      <c r="AI218" s="20"/>
      <c r="AJ218" s="20"/>
      <c r="AK218" s="20"/>
      <c r="AL218" s="20"/>
      <c r="AM218" s="20"/>
      <c r="AN218" s="254"/>
      <c r="AO218" s="251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96"/>
      <c r="BA218" s="11"/>
      <c r="BB218" s="11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112"/>
      <c r="BO218" s="20"/>
      <c r="BP218" s="20"/>
      <c r="BQ218" s="20"/>
      <c r="BR218" s="20"/>
      <c r="BS218" s="11"/>
      <c r="BT218" s="11"/>
      <c r="BU218" s="11"/>
      <c r="BV218" s="11"/>
      <c r="BW218" s="112"/>
      <c r="BX218" s="20"/>
      <c r="BY218" s="20"/>
      <c r="BZ218" s="20"/>
      <c r="CA218" s="20"/>
      <c r="CB218" s="20"/>
      <c r="CC218" s="20"/>
      <c r="CD218" s="20"/>
      <c r="CE218" s="20"/>
      <c r="CF218" s="20"/>
      <c r="CG218" s="96"/>
      <c r="CH218" s="20"/>
      <c r="CI218" s="20"/>
      <c r="CJ218" s="20"/>
      <c r="CK218" s="20"/>
      <c r="CL218" s="20"/>
      <c r="CM218" s="20"/>
      <c r="CN218" s="11"/>
      <c r="CO218" s="20"/>
      <c r="CP218" s="20"/>
      <c r="CQ218" s="20"/>
      <c r="CR218" s="20"/>
      <c r="CS218" s="20"/>
      <c r="CT218" s="20"/>
      <c r="CU218" s="20"/>
      <c r="CV218" s="20"/>
      <c r="CW218" s="20"/>
      <c r="CX218" s="96"/>
      <c r="CY218" s="112"/>
      <c r="CZ218" s="20"/>
      <c r="DA218" s="26"/>
      <c r="DB218" s="42"/>
      <c r="DC218" s="43"/>
      <c r="DD218" s="62"/>
      <c r="DE218" s="62"/>
      <c r="DF218" s="4"/>
      <c r="DG218" s="4"/>
      <c r="DH218" s="4"/>
      <c r="DI218" s="4"/>
      <c r="DJ218" s="62"/>
      <c r="DK218" s="62"/>
      <c r="DL218" s="209"/>
      <c r="DM218" s="62"/>
      <c r="DN218" s="13"/>
      <c r="DO218" s="7">
        <v>148</v>
      </c>
      <c r="DP218" s="103"/>
      <c r="DQ218" s="19"/>
      <c r="DR218" s="19"/>
      <c r="DS218" s="125"/>
      <c r="DT218" s="132"/>
      <c r="DU218" s="130"/>
      <c r="DV218" s="130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</row>
    <row r="219" spans="1:138" x14ac:dyDescent="0.2">
      <c r="A219" s="7"/>
      <c r="B219" s="189"/>
      <c r="C219" s="19"/>
      <c r="D219" s="19"/>
      <c r="E219" s="82"/>
      <c r="F219" s="82"/>
      <c r="G219" s="9"/>
      <c r="H219" s="93"/>
      <c r="I219" s="47"/>
      <c r="J219" s="94"/>
      <c r="K219" s="112"/>
      <c r="L219" s="112"/>
      <c r="M219" s="112"/>
      <c r="N219" s="112"/>
      <c r="O219" s="112"/>
      <c r="P219" s="112"/>
      <c r="Q219" s="112"/>
      <c r="R219" s="112"/>
      <c r="S219" s="112"/>
      <c r="T219" s="96"/>
      <c r="U219" s="112"/>
      <c r="V219" s="112"/>
      <c r="W219" s="112"/>
      <c r="X219" s="96"/>
      <c r="Y219" s="96"/>
      <c r="Z219" s="96"/>
      <c r="AA219" s="96"/>
      <c r="AB219" s="96"/>
      <c r="AC219" s="96"/>
      <c r="AD219" s="96"/>
      <c r="AE219" s="110"/>
      <c r="AF219" s="110"/>
      <c r="AG219" s="112"/>
      <c r="AH219" s="112"/>
      <c r="AI219" s="112"/>
      <c r="AJ219" s="112"/>
      <c r="AK219" s="112"/>
      <c r="AL219" s="112"/>
      <c r="AM219" s="112"/>
      <c r="AN219" s="255"/>
      <c r="AO219" s="251"/>
      <c r="AP219" s="112"/>
      <c r="AQ219" s="112"/>
      <c r="AR219" s="112"/>
      <c r="AS219" s="112"/>
      <c r="AT219" s="112"/>
      <c r="AU219" s="112"/>
      <c r="AV219" s="112"/>
      <c r="AW219" s="112"/>
      <c r="AX219" s="112"/>
      <c r="AY219" s="112"/>
      <c r="AZ219" s="96"/>
      <c r="BA219" s="11"/>
      <c r="BB219" s="11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12"/>
      <c r="BM219" s="112"/>
      <c r="BN219" s="112"/>
      <c r="BO219" s="112"/>
      <c r="BP219" s="112"/>
      <c r="BQ219" s="112"/>
      <c r="BR219" s="112"/>
      <c r="BS219" s="11"/>
      <c r="BT219" s="11"/>
      <c r="BU219" s="11"/>
      <c r="BV219" s="11"/>
      <c r="BW219" s="112"/>
      <c r="BX219" s="112"/>
      <c r="BY219" s="112"/>
      <c r="BZ219" s="112"/>
      <c r="CA219" s="112"/>
      <c r="CB219" s="112"/>
      <c r="CC219" s="112"/>
      <c r="CD219" s="112"/>
      <c r="CE219" s="112"/>
      <c r="CF219" s="112"/>
      <c r="CG219" s="96"/>
      <c r="CH219" s="112"/>
      <c r="CI219" s="112"/>
      <c r="CJ219" s="112"/>
      <c r="CK219" s="112"/>
      <c r="CL219" s="112"/>
      <c r="CM219" s="112"/>
      <c r="CN219" s="96"/>
      <c r="CO219" s="112"/>
      <c r="CP219" s="112"/>
      <c r="CQ219" s="112"/>
      <c r="CR219" s="112"/>
      <c r="CS219" s="112"/>
      <c r="CT219" s="112"/>
      <c r="CU219" s="112"/>
      <c r="CV219" s="112"/>
      <c r="CW219" s="112"/>
      <c r="CX219" s="96"/>
      <c r="CY219" s="112"/>
      <c r="CZ219" s="112"/>
      <c r="DA219" s="26"/>
      <c r="DB219" s="42"/>
      <c r="DC219" s="43"/>
      <c r="DD219" s="62"/>
      <c r="DE219" s="62"/>
      <c r="DF219" s="4"/>
      <c r="DG219" s="4"/>
      <c r="DH219" s="4"/>
      <c r="DI219" s="4"/>
      <c r="DJ219" s="62"/>
      <c r="DK219" s="62"/>
      <c r="DL219" s="209"/>
      <c r="DM219" s="62"/>
      <c r="DN219" s="13"/>
      <c r="DO219" s="7">
        <v>149</v>
      </c>
      <c r="DP219" s="103"/>
      <c r="DQ219" s="19"/>
      <c r="DR219" s="19"/>
      <c r="DS219" s="125"/>
      <c r="DT219" s="132"/>
      <c r="DU219" s="132"/>
      <c r="DV219" s="132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</row>
    <row r="220" spans="1:138" x14ac:dyDescent="0.2">
      <c r="A220" s="7"/>
      <c r="B220" s="200"/>
      <c r="C220" s="19"/>
      <c r="D220" s="19"/>
      <c r="E220" s="82"/>
      <c r="F220" s="82"/>
      <c r="G220" s="9"/>
      <c r="H220" s="93"/>
      <c r="I220" s="47"/>
      <c r="J220" s="94"/>
      <c r="K220" s="112"/>
      <c r="L220" s="112"/>
      <c r="M220" s="112"/>
      <c r="N220" s="112"/>
      <c r="O220" s="112"/>
      <c r="P220" s="112"/>
      <c r="Q220" s="112"/>
      <c r="R220" s="112"/>
      <c r="S220" s="112"/>
      <c r="T220" s="96"/>
      <c r="U220" s="112"/>
      <c r="V220" s="112"/>
      <c r="W220" s="112"/>
      <c r="X220" s="96"/>
      <c r="Y220" s="96"/>
      <c r="Z220" s="96"/>
      <c r="AA220" s="96"/>
      <c r="AB220" s="96"/>
      <c r="AC220" s="96"/>
      <c r="AD220" s="96"/>
      <c r="AE220" s="110"/>
      <c r="AF220" s="110"/>
      <c r="AG220" s="112"/>
      <c r="AH220" s="112"/>
      <c r="AI220" s="112"/>
      <c r="AJ220" s="112"/>
      <c r="AK220" s="112"/>
      <c r="AL220" s="112"/>
      <c r="AM220" s="112"/>
      <c r="AN220" s="255"/>
      <c r="AO220" s="251"/>
      <c r="AP220" s="112"/>
      <c r="AQ220" s="112"/>
      <c r="AR220" s="112"/>
      <c r="AS220" s="112"/>
      <c r="AT220" s="112"/>
      <c r="AU220" s="112"/>
      <c r="AV220" s="96"/>
      <c r="AW220" s="112"/>
      <c r="AX220" s="112"/>
      <c r="AY220" s="112"/>
      <c r="AZ220" s="96"/>
      <c r="BA220" s="11"/>
      <c r="BB220" s="11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12"/>
      <c r="BM220" s="112"/>
      <c r="BN220" s="112"/>
      <c r="BO220" s="112"/>
      <c r="BP220" s="112"/>
      <c r="BQ220" s="112"/>
      <c r="BR220" s="112"/>
      <c r="BS220" s="11"/>
      <c r="BT220" s="11"/>
      <c r="BU220" s="11"/>
      <c r="BV220" s="11"/>
      <c r="BW220" s="112"/>
      <c r="BX220" s="112"/>
      <c r="BY220" s="112"/>
      <c r="BZ220" s="112"/>
      <c r="CA220" s="112"/>
      <c r="CB220" s="112"/>
      <c r="CC220" s="112"/>
      <c r="CD220" s="112"/>
      <c r="CE220" s="112"/>
      <c r="CF220" s="112"/>
      <c r="CG220" s="96"/>
      <c r="CH220" s="112"/>
      <c r="CI220" s="112"/>
      <c r="CJ220" s="112"/>
      <c r="CK220" s="112"/>
      <c r="CL220" s="112"/>
      <c r="CM220" s="112"/>
      <c r="CN220" s="96"/>
      <c r="CO220" s="112"/>
      <c r="CP220" s="112"/>
      <c r="CQ220" s="112"/>
      <c r="CR220" s="112"/>
      <c r="CS220" s="112"/>
      <c r="CT220" s="112"/>
      <c r="CU220" s="112"/>
      <c r="CV220" s="112"/>
      <c r="CW220" s="112"/>
      <c r="CX220" s="96"/>
      <c r="CY220" s="112"/>
      <c r="CZ220" s="112"/>
      <c r="DA220" s="26"/>
      <c r="DB220" s="42"/>
      <c r="DC220" s="43"/>
      <c r="DD220" s="62"/>
      <c r="DE220" s="62"/>
      <c r="DF220" s="4"/>
      <c r="DG220" s="4"/>
      <c r="DH220" s="4"/>
      <c r="DI220" s="4"/>
      <c r="DJ220" s="62"/>
      <c r="DK220" s="62"/>
      <c r="DL220" s="209"/>
      <c r="DM220" s="62"/>
      <c r="DN220" s="13"/>
      <c r="DO220" s="7">
        <v>150</v>
      </c>
      <c r="DP220" s="103"/>
      <c r="DQ220" s="19"/>
      <c r="DR220" s="19"/>
      <c r="DS220" s="125"/>
      <c r="DT220" s="132"/>
      <c r="DU220" s="132"/>
      <c r="DV220" s="132"/>
      <c r="DW220" s="146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</row>
    <row r="221" spans="1:138" x14ac:dyDescent="0.2">
      <c r="A221" s="7"/>
      <c r="B221" s="200"/>
      <c r="C221" s="19"/>
      <c r="D221" s="19"/>
      <c r="E221" s="82"/>
      <c r="F221" s="82"/>
      <c r="G221" s="9"/>
      <c r="H221" s="93"/>
      <c r="I221" s="47"/>
      <c r="J221" s="94"/>
      <c r="K221" s="112"/>
      <c r="L221" s="112"/>
      <c r="M221" s="112"/>
      <c r="N221" s="112"/>
      <c r="O221" s="112"/>
      <c r="P221" s="112"/>
      <c r="Q221" s="112"/>
      <c r="R221" s="112"/>
      <c r="S221" s="112"/>
      <c r="T221" s="96"/>
      <c r="U221" s="112"/>
      <c r="V221" s="112"/>
      <c r="W221" s="112"/>
      <c r="X221" s="96"/>
      <c r="Y221" s="96"/>
      <c r="Z221" s="96"/>
      <c r="AA221" s="96"/>
      <c r="AB221" s="96"/>
      <c r="AC221" s="96"/>
      <c r="AD221" s="96"/>
      <c r="AE221" s="110"/>
      <c r="AF221" s="110"/>
      <c r="AG221" s="112"/>
      <c r="AH221" s="112"/>
      <c r="AI221" s="112"/>
      <c r="AJ221" s="112"/>
      <c r="AK221" s="112"/>
      <c r="AL221" s="112"/>
      <c r="AM221" s="112"/>
      <c r="AN221" s="255"/>
      <c r="AO221" s="251"/>
      <c r="AP221" s="112"/>
      <c r="AQ221" s="112"/>
      <c r="AR221" s="112"/>
      <c r="AS221" s="112"/>
      <c r="AT221" s="112"/>
      <c r="AU221" s="112"/>
      <c r="AV221" s="112"/>
      <c r="AW221" s="112"/>
      <c r="AX221" s="112"/>
      <c r="AY221" s="112"/>
      <c r="AZ221" s="96"/>
      <c r="BA221" s="11"/>
      <c r="BB221" s="11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12"/>
      <c r="BM221" s="112"/>
      <c r="BN221" s="112"/>
      <c r="BO221" s="112"/>
      <c r="BP221" s="112"/>
      <c r="BQ221" s="112"/>
      <c r="BR221" s="112"/>
      <c r="BS221" s="11"/>
      <c r="BT221" s="11"/>
      <c r="BU221" s="11"/>
      <c r="BV221" s="11"/>
      <c r="BW221" s="112"/>
      <c r="BX221" s="112"/>
      <c r="BY221" s="112"/>
      <c r="BZ221" s="112"/>
      <c r="CA221" s="112"/>
      <c r="CB221" s="112"/>
      <c r="CC221" s="112"/>
      <c r="CD221" s="112"/>
      <c r="CE221" s="112"/>
      <c r="CF221" s="112"/>
      <c r="CG221" s="96"/>
      <c r="CH221" s="112"/>
      <c r="CI221" s="112"/>
      <c r="CJ221" s="112"/>
      <c r="CK221" s="112"/>
      <c r="CL221" s="112"/>
      <c r="CM221" s="112"/>
      <c r="CN221" s="96"/>
      <c r="CO221" s="112"/>
      <c r="CP221" s="112"/>
      <c r="CQ221" s="112"/>
      <c r="CR221" s="112"/>
      <c r="CS221" s="112"/>
      <c r="CT221" s="112"/>
      <c r="CU221" s="112"/>
      <c r="CV221" s="112"/>
      <c r="CW221" s="112"/>
      <c r="CX221" s="96"/>
      <c r="CY221" s="112"/>
      <c r="CZ221" s="112"/>
      <c r="DA221" s="26"/>
      <c r="DB221" s="42"/>
      <c r="DC221" s="43"/>
      <c r="DD221" s="62"/>
      <c r="DE221" s="62"/>
      <c r="DF221" s="4"/>
      <c r="DG221" s="4"/>
      <c r="DH221" s="4"/>
      <c r="DI221" s="4"/>
      <c r="DJ221" s="62"/>
      <c r="DK221" s="62"/>
      <c r="DL221" s="209"/>
      <c r="DM221" s="62"/>
      <c r="DN221" s="13"/>
      <c r="DO221" s="7">
        <v>151</v>
      </c>
      <c r="DP221" s="103"/>
      <c r="DQ221" s="19"/>
      <c r="DR221" s="19"/>
      <c r="DS221" s="125"/>
      <c r="DT221" s="132"/>
      <c r="DU221" s="132"/>
      <c r="DV221" s="132"/>
      <c r="DW221" s="146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</row>
    <row r="222" spans="1:138" x14ac:dyDescent="0.2">
      <c r="A222" s="7"/>
      <c r="B222" s="189"/>
      <c r="C222" s="19"/>
      <c r="D222" s="19"/>
      <c r="E222" s="82"/>
      <c r="F222" s="82"/>
      <c r="G222" s="9"/>
      <c r="H222" s="93"/>
      <c r="I222" s="47"/>
      <c r="J222" s="94"/>
      <c r="K222" s="112"/>
      <c r="L222" s="112"/>
      <c r="M222" s="112"/>
      <c r="N222" s="112"/>
      <c r="O222" s="112"/>
      <c r="P222" s="112"/>
      <c r="Q222" s="112"/>
      <c r="R222" s="112"/>
      <c r="S222" s="112"/>
      <c r="T222" s="96"/>
      <c r="U222" s="112"/>
      <c r="V222" s="112"/>
      <c r="W222" s="112"/>
      <c r="X222" s="96"/>
      <c r="Y222" s="96"/>
      <c r="Z222" s="96"/>
      <c r="AA222" s="96"/>
      <c r="AB222" s="96"/>
      <c r="AC222" s="96"/>
      <c r="AD222" s="96"/>
      <c r="AE222" s="110"/>
      <c r="AF222" s="110"/>
      <c r="AG222" s="112"/>
      <c r="AH222" s="112"/>
      <c r="AI222" s="112"/>
      <c r="AJ222" s="112"/>
      <c r="AK222" s="112"/>
      <c r="AL222" s="112"/>
      <c r="AM222" s="112"/>
      <c r="AN222" s="255"/>
      <c r="AO222" s="251"/>
      <c r="AP222" s="112"/>
      <c r="AQ222" s="112"/>
      <c r="AR222" s="112"/>
      <c r="AS222" s="112"/>
      <c r="AT222" s="112"/>
      <c r="AU222" s="112"/>
      <c r="AV222" s="112"/>
      <c r="AW222" s="112"/>
      <c r="AX222" s="112"/>
      <c r="AY222" s="112"/>
      <c r="AZ222" s="96"/>
      <c r="BA222" s="11"/>
      <c r="BB222" s="11"/>
      <c r="BC222" s="96"/>
      <c r="BD222" s="112"/>
      <c r="BE222" s="96"/>
      <c r="BF222" s="112"/>
      <c r="BG222" s="112"/>
      <c r="BH222" s="112"/>
      <c r="BI222" s="112"/>
      <c r="BJ222" s="112"/>
      <c r="BK222" s="112"/>
      <c r="BL222" s="112"/>
      <c r="BM222" s="112"/>
      <c r="BN222" s="112"/>
      <c r="BO222" s="112"/>
      <c r="BP222" s="112"/>
      <c r="BQ222" s="112"/>
      <c r="BR222" s="112"/>
      <c r="BS222" s="11"/>
      <c r="BT222" s="11"/>
      <c r="BU222" s="11"/>
      <c r="BV222" s="11"/>
      <c r="BW222" s="112"/>
      <c r="BX222" s="112"/>
      <c r="BY222" s="112"/>
      <c r="BZ222" s="112"/>
      <c r="CA222" s="112"/>
      <c r="CB222" s="112"/>
      <c r="CC222" s="112"/>
      <c r="CD222" s="112"/>
      <c r="CE222" s="112"/>
      <c r="CF222" s="112"/>
      <c r="CG222" s="96"/>
      <c r="CH222" s="112"/>
      <c r="CI222" s="112"/>
      <c r="CJ222" s="112"/>
      <c r="CK222" s="112"/>
      <c r="CL222" s="112"/>
      <c r="CM222" s="112"/>
      <c r="CN222" s="96"/>
      <c r="CO222" s="112"/>
      <c r="CP222" s="112"/>
      <c r="CQ222" s="112"/>
      <c r="CR222" s="112"/>
      <c r="CS222" s="112"/>
      <c r="CT222" s="112"/>
      <c r="CU222" s="112"/>
      <c r="CV222" s="112"/>
      <c r="CW222" s="112"/>
      <c r="CX222" s="96"/>
      <c r="CY222" s="112"/>
      <c r="CZ222" s="112"/>
      <c r="DA222" s="26"/>
      <c r="DB222" s="42"/>
      <c r="DC222" s="43"/>
      <c r="DD222" s="62"/>
      <c r="DE222" s="62"/>
      <c r="DF222" s="4"/>
      <c r="DG222" s="4"/>
      <c r="DH222" s="4"/>
      <c r="DI222" s="4"/>
      <c r="DJ222" s="62"/>
      <c r="DK222" s="62"/>
      <c r="DL222" s="209"/>
      <c r="DM222" s="62"/>
      <c r="DN222" s="13"/>
      <c r="DO222" s="7">
        <v>152</v>
      </c>
      <c r="DP222" s="103"/>
      <c r="DQ222" s="19"/>
      <c r="DR222" s="19"/>
      <c r="DS222" s="125"/>
      <c r="DT222" s="132"/>
      <c r="DU222" s="132"/>
      <c r="DV222" s="132"/>
      <c r="DW222" s="146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</row>
    <row r="223" spans="1:138" x14ac:dyDescent="0.2">
      <c r="A223" s="7"/>
      <c r="B223" s="148"/>
      <c r="C223" s="19"/>
      <c r="D223" s="19"/>
      <c r="E223" s="82"/>
      <c r="F223" s="82"/>
      <c r="G223" s="9"/>
      <c r="H223" s="93"/>
      <c r="I223" s="47"/>
      <c r="J223" s="94"/>
      <c r="K223" s="20"/>
      <c r="L223" s="20"/>
      <c r="M223" s="20"/>
      <c r="N223" s="20"/>
      <c r="O223" s="20"/>
      <c r="P223" s="20"/>
      <c r="Q223" s="20"/>
      <c r="R223" s="20"/>
      <c r="S223" s="20"/>
      <c r="T223" s="96"/>
      <c r="U223" s="20"/>
      <c r="V223" s="20"/>
      <c r="W223" s="20"/>
      <c r="X223" s="96"/>
      <c r="Y223" s="96"/>
      <c r="Z223" s="96"/>
      <c r="AA223" s="96"/>
      <c r="AB223" s="96"/>
      <c r="AC223" s="96"/>
      <c r="AD223" s="96"/>
      <c r="AE223" s="110"/>
      <c r="AF223" s="110"/>
      <c r="AG223" s="20"/>
      <c r="AH223" s="20"/>
      <c r="AI223" s="20"/>
      <c r="AJ223" s="20"/>
      <c r="AK223" s="20"/>
      <c r="AL223" s="20"/>
      <c r="AM223" s="20"/>
      <c r="AN223" s="254"/>
      <c r="AO223" s="251"/>
      <c r="AP223" s="20"/>
      <c r="AQ223" s="11"/>
      <c r="AR223" s="20"/>
      <c r="AS223" s="20"/>
      <c r="AT223" s="20"/>
      <c r="AU223" s="20"/>
      <c r="AV223" s="20"/>
      <c r="AW223" s="20"/>
      <c r="AX223" s="20"/>
      <c r="AY223" s="20"/>
      <c r="AZ223" s="96"/>
      <c r="BA223" s="11"/>
      <c r="BB223" s="11"/>
      <c r="BC223" s="96"/>
      <c r="BD223" s="20"/>
      <c r="BE223" s="96"/>
      <c r="BF223" s="20"/>
      <c r="BG223" s="20"/>
      <c r="BH223" s="20"/>
      <c r="BI223" s="20"/>
      <c r="BJ223" s="20"/>
      <c r="BK223" s="20"/>
      <c r="BL223" s="20"/>
      <c r="BM223" s="20"/>
      <c r="BN223" s="112"/>
      <c r="BO223" s="20"/>
      <c r="BP223" s="20"/>
      <c r="BQ223" s="20"/>
      <c r="BR223" s="20"/>
      <c r="BS223" s="11"/>
      <c r="BT223" s="11"/>
      <c r="BU223" s="11"/>
      <c r="BV223" s="11"/>
      <c r="BW223" s="112"/>
      <c r="BX223" s="20"/>
      <c r="BY223" s="20"/>
      <c r="BZ223" s="20"/>
      <c r="CA223" s="20"/>
      <c r="CB223" s="20"/>
      <c r="CC223" s="20"/>
      <c r="CD223" s="20"/>
      <c r="CE223" s="20"/>
      <c r="CF223" s="20"/>
      <c r="CG223" s="96"/>
      <c r="CH223" s="20"/>
      <c r="CI223" s="20"/>
      <c r="CJ223" s="20"/>
      <c r="CK223" s="20"/>
      <c r="CL223" s="20"/>
      <c r="CM223" s="20"/>
      <c r="CN223" s="11"/>
      <c r="CO223" s="20"/>
      <c r="CP223" s="20"/>
      <c r="CQ223" s="20"/>
      <c r="CR223" s="20"/>
      <c r="CS223" s="20"/>
      <c r="CT223" s="20"/>
      <c r="CU223" s="20"/>
      <c r="CV223" s="20"/>
      <c r="CW223" s="20"/>
      <c r="CX223" s="96"/>
      <c r="CY223" s="112"/>
      <c r="CZ223" s="20"/>
      <c r="DA223" s="26"/>
      <c r="DB223" s="42"/>
      <c r="DC223" s="43"/>
      <c r="DD223" s="62"/>
      <c r="DE223" s="62"/>
      <c r="DF223" s="4"/>
      <c r="DG223" s="4"/>
      <c r="DH223" s="4"/>
      <c r="DI223" s="4"/>
      <c r="DJ223" s="62"/>
      <c r="DK223" s="62"/>
      <c r="DL223" s="209"/>
      <c r="DM223" s="62"/>
      <c r="DN223" s="13"/>
      <c r="DO223" s="7">
        <v>153</v>
      </c>
      <c r="DP223" s="103"/>
      <c r="DQ223" s="19"/>
      <c r="DR223" s="19"/>
      <c r="DS223" s="125"/>
      <c r="DT223" s="132"/>
      <c r="DU223" s="132"/>
      <c r="DV223" s="132"/>
      <c r="DW223" s="146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</row>
    <row r="224" spans="1:138" x14ac:dyDescent="0.2">
      <c r="A224" s="7"/>
      <c r="B224" s="189"/>
      <c r="C224" s="19"/>
      <c r="D224" s="19"/>
      <c r="E224" s="82"/>
      <c r="F224" s="82"/>
      <c r="G224" s="9"/>
      <c r="H224" s="93"/>
      <c r="I224" s="47"/>
      <c r="J224" s="94"/>
      <c r="K224" s="112"/>
      <c r="L224" s="112"/>
      <c r="M224" s="112"/>
      <c r="N224" s="112"/>
      <c r="O224" s="112"/>
      <c r="P224" s="112"/>
      <c r="Q224" s="96"/>
      <c r="R224" s="112"/>
      <c r="S224" s="96"/>
      <c r="T224" s="96"/>
      <c r="U224" s="96"/>
      <c r="V224" s="112"/>
      <c r="W224" s="96"/>
      <c r="X224" s="96"/>
      <c r="Y224" s="96"/>
      <c r="Z224" s="96"/>
      <c r="AA224" s="96"/>
      <c r="AB224" s="96"/>
      <c r="AC224" s="96"/>
      <c r="AD224" s="96"/>
      <c r="AE224" s="110"/>
      <c r="AF224" s="110"/>
      <c r="AG224" s="112"/>
      <c r="AH224" s="112"/>
      <c r="AI224" s="112"/>
      <c r="AJ224" s="112"/>
      <c r="AK224" s="112"/>
      <c r="AL224" s="112"/>
      <c r="AM224" s="112"/>
      <c r="AN224" s="255"/>
      <c r="AO224" s="251"/>
      <c r="AP224" s="112"/>
      <c r="AQ224" s="112"/>
      <c r="AR224" s="112"/>
      <c r="AS224" s="112"/>
      <c r="AT224" s="112"/>
      <c r="AU224" s="112"/>
      <c r="AV224" s="112"/>
      <c r="AW224" s="112"/>
      <c r="AX224" s="112"/>
      <c r="AY224" s="112"/>
      <c r="AZ224" s="96"/>
      <c r="BA224" s="11"/>
      <c r="BB224" s="11"/>
      <c r="BC224" s="96"/>
      <c r="BD224" s="112"/>
      <c r="BE224" s="96"/>
      <c r="BF224" s="112"/>
      <c r="BG224" s="112"/>
      <c r="BH224" s="112"/>
      <c r="BI224" s="112"/>
      <c r="BJ224" s="112"/>
      <c r="BK224" s="112"/>
      <c r="BL224" s="112"/>
      <c r="BM224" s="112"/>
      <c r="BN224" s="112"/>
      <c r="BO224" s="112"/>
      <c r="BP224" s="112"/>
      <c r="BQ224" s="112"/>
      <c r="BR224" s="112"/>
      <c r="BS224" s="11"/>
      <c r="BT224" s="11"/>
      <c r="BU224" s="11"/>
      <c r="BV224" s="11"/>
      <c r="BW224" s="112"/>
      <c r="BX224" s="112"/>
      <c r="BY224" s="112"/>
      <c r="BZ224" s="112"/>
      <c r="CA224" s="112"/>
      <c r="CB224" s="112"/>
      <c r="CC224" s="112"/>
      <c r="CD224" s="112"/>
      <c r="CE224" s="112"/>
      <c r="CF224" s="112"/>
      <c r="CG224" s="96"/>
      <c r="CH224" s="112"/>
      <c r="CI224" s="112"/>
      <c r="CJ224" s="112"/>
      <c r="CK224" s="112"/>
      <c r="CL224" s="112"/>
      <c r="CM224" s="112"/>
      <c r="CN224" s="96"/>
      <c r="CO224" s="112"/>
      <c r="CP224" s="112"/>
      <c r="CQ224" s="112"/>
      <c r="CR224" s="112"/>
      <c r="CS224" s="112"/>
      <c r="CT224" s="112"/>
      <c r="CU224" s="112"/>
      <c r="CV224" s="112"/>
      <c r="CW224" s="112"/>
      <c r="CX224" s="96"/>
      <c r="CY224" s="112"/>
      <c r="CZ224" s="112"/>
      <c r="DA224" s="26"/>
      <c r="DB224" s="42"/>
      <c r="DC224" s="43"/>
      <c r="DD224" s="62"/>
      <c r="DE224" s="62"/>
      <c r="DF224" s="4"/>
      <c r="DG224" s="4"/>
      <c r="DH224" s="4"/>
      <c r="DI224" s="4"/>
      <c r="DJ224" s="62"/>
      <c r="DK224" s="62"/>
      <c r="DL224" s="209"/>
      <c r="DM224" s="62"/>
      <c r="DN224" s="13"/>
      <c r="DO224" s="7">
        <v>154</v>
      </c>
      <c r="DP224" s="103"/>
      <c r="DQ224" s="19"/>
      <c r="DR224" s="19"/>
      <c r="DS224" s="125"/>
      <c r="DT224" s="132"/>
      <c r="DU224" s="132"/>
      <c r="DV224" s="132"/>
      <c r="DW224" s="146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</row>
    <row r="225" spans="1:138" x14ac:dyDescent="0.2">
      <c r="A225" s="7"/>
      <c r="B225" s="189"/>
      <c r="C225" s="19"/>
      <c r="D225" s="19"/>
      <c r="E225" s="82"/>
      <c r="F225" s="82"/>
      <c r="G225" s="9"/>
      <c r="H225" s="93"/>
      <c r="I225" s="47"/>
      <c r="J225" s="94"/>
      <c r="K225" s="20"/>
      <c r="L225" s="20"/>
      <c r="M225" s="20"/>
      <c r="N225" s="20"/>
      <c r="O225" s="20"/>
      <c r="P225" s="20"/>
      <c r="Q225" s="20"/>
      <c r="R225" s="20"/>
      <c r="S225" s="112"/>
      <c r="T225" s="11"/>
      <c r="U225" s="20"/>
      <c r="V225" s="20"/>
      <c r="W225" s="20"/>
      <c r="X225" s="96"/>
      <c r="Y225" s="11"/>
      <c r="Z225" s="11"/>
      <c r="AA225" s="96"/>
      <c r="AB225" s="11"/>
      <c r="AC225" s="11"/>
      <c r="AD225" s="96"/>
      <c r="AE225" s="79"/>
      <c r="AF225" s="79"/>
      <c r="AG225" s="20"/>
      <c r="AH225" s="20"/>
      <c r="AI225" s="20"/>
      <c r="AJ225" s="20"/>
      <c r="AK225" s="20"/>
      <c r="AL225" s="20"/>
      <c r="AM225" s="20"/>
      <c r="AN225" s="254"/>
      <c r="AO225" s="251"/>
      <c r="AP225" s="112"/>
      <c r="AQ225" s="112"/>
      <c r="AR225" s="112"/>
      <c r="AS225" s="20"/>
      <c r="AT225" s="112"/>
      <c r="AU225" s="20"/>
      <c r="AV225" s="20"/>
      <c r="AW225" s="20"/>
      <c r="AX225" s="20"/>
      <c r="AY225" s="112"/>
      <c r="AZ225" s="96"/>
      <c r="BA225" s="11"/>
      <c r="BB225" s="11"/>
      <c r="BC225" s="11"/>
      <c r="BD225" s="20"/>
      <c r="BE225" s="11"/>
      <c r="BF225" s="20"/>
      <c r="BG225" s="20"/>
      <c r="BH225" s="20"/>
      <c r="BI225" s="20"/>
      <c r="BJ225" s="20"/>
      <c r="BK225" s="112"/>
      <c r="BL225" s="20"/>
      <c r="BM225" s="112"/>
      <c r="BN225" s="20"/>
      <c r="BO225" s="112"/>
      <c r="BP225" s="20"/>
      <c r="BQ225" s="20"/>
      <c r="BR225" s="20"/>
      <c r="BS225" s="11"/>
      <c r="BT225" s="11"/>
      <c r="BU225" s="11"/>
      <c r="BV225" s="11"/>
      <c r="BW225" s="20"/>
      <c r="BX225" s="20"/>
      <c r="BY225" s="112"/>
      <c r="BZ225" s="20"/>
      <c r="CA225" s="20"/>
      <c r="CB225" s="20"/>
      <c r="CC225" s="20"/>
      <c r="CD225" s="20"/>
      <c r="CE225" s="20"/>
      <c r="CF225" s="20"/>
      <c r="CG225" s="96"/>
      <c r="CH225" s="20"/>
      <c r="CI225" s="20"/>
      <c r="CJ225" s="112"/>
      <c r="CK225" s="112"/>
      <c r="CL225" s="20"/>
      <c r="CM225" s="20"/>
      <c r="CN225" s="11"/>
      <c r="CO225" s="20"/>
      <c r="CP225" s="20"/>
      <c r="CQ225" s="20"/>
      <c r="CR225" s="20"/>
      <c r="CS225" s="20"/>
      <c r="CT225" s="20"/>
      <c r="CU225" s="20"/>
      <c r="CV225" s="20"/>
      <c r="CW225" s="20"/>
      <c r="CX225" s="11"/>
      <c r="CY225" s="20"/>
      <c r="CZ225" s="20"/>
      <c r="DA225" s="26"/>
      <c r="DB225" s="42"/>
      <c r="DC225" s="43"/>
      <c r="DD225" s="62"/>
      <c r="DE225" s="62"/>
      <c r="DF225" s="4"/>
      <c r="DG225" s="4"/>
      <c r="DH225" s="4"/>
      <c r="DI225" s="4"/>
      <c r="DJ225" s="62"/>
      <c r="DK225" s="62"/>
      <c r="DL225" s="209"/>
      <c r="DM225" s="62"/>
      <c r="DN225" s="13"/>
      <c r="DO225" s="7">
        <v>155</v>
      </c>
      <c r="DP225" s="103"/>
      <c r="DQ225" s="19"/>
      <c r="DR225" s="19"/>
      <c r="DS225" s="125"/>
      <c r="DT225" s="132"/>
      <c r="DU225" s="132"/>
      <c r="DV225" s="132"/>
      <c r="DW225" s="146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</row>
    <row r="226" spans="1:138" x14ac:dyDescent="0.2">
      <c r="A226" s="7"/>
      <c r="B226" s="148"/>
      <c r="C226" s="19"/>
      <c r="D226" s="19"/>
      <c r="E226" s="82"/>
      <c r="F226" s="82"/>
      <c r="G226" s="9"/>
      <c r="H226" s="93"/>
      <c r="I226" s="47"/>
      <c r="J226" s="94"/>
      <c r="K226" s="20"/>
      <c r="L226" s="20"/>
      <c r="M226" s="20"/>
      <c r="N226" s="20"/>
      <c r="O226" s="20"/>
      <c r="P226" s="20"/>
      <c r="Q226" s="20"/>
      <c r="R226" s="20"/>
      <c r="S226" s="20"/>
      <c r="T226" s="96"/>
      <c r="U226" s="20"/>
      <c r="V226" s="20"/>
      <c r="W226" s="20"/>
      <c r="X226" s="96"/>
      <c r="Y226" s="96"/>
      <c r="Z226" s="96"/>
      <c r="AA226" s="96"/>
      <c r="AB226" s="96"/>
      <c r="AC226" s="96"/>
      <c r="AD226" s="96"/>
      <c r="AE226" s="110"/>
      <c r="AF226" s="110"/>
      <c r="AG226" s="20"/>
      <c r="AH226" s="20"/>
      <c r="AI226" s="20"/>
      <c r="AJ226" s="20"/>
      <c r="AK226" s="20"/>
      <c r="AL226" s="20"/>
      <c r="AM226" s="20"/>
      <c r="AN226" s="254"/>
      <c r="AO226" s="251"/>
      <c r="AP226" s="20"/>
      <c r="AQ226" s="20"/>
      <c r="AR226" s="20"/>
      <c r="AS226" s="20"/>
      <c r="AT226" s="20"/>
      <c r="AU226" s="20"/>
      <c r="AV226" s="20"/>
      <c r="AW226" s="11"/>
      <c r="AX226" s="20"/>
      <c r="AY226" s="20"/>
      <c r="AZ226" s="96"/>
      <c r="BA226" s="11"/>
      <c r="BB226" s="11"/>
      <c r="BC226" s="96"/>
      <c r="BD226" s="20"/>
      <c r="BE226" s="96"/>
      <c r="BF226" s="20"/>
      <c r="BG226" s="20"/>
      <c r="BH226" s="20"/>
      <c r="BI226" s="20"/>
      <c r="BJ226" s="20"/>
      <c r="BK226" s="20"/>
      <c r="BL226" s="20"/>
      <c r="BM226" s="20"/>
      <c r="BN226" s="112"/>
      <c r="BO226" s="20"/>
      <c r="BP226" s="20"/>
      <c r="BQ226" s="20"/>
      <c r="BR226" s="20"/>
      <c r="BS226" s="11"/>
      <c r="BT226" s="11"/>
      <c r="BU226" s="11"/>
      <c r="BV226" s="11"/>
      <c r="BW226" s="96"/>
      <c r="BX226" s="20"/>
      <c r="BY226" s="20"/>
      <c r="BZ226" s="20"/>
      <c r="CA226" s="20"/>
      <c r="CB226" s="20"/>
      <c r="CC226" s="20"/>
      <c r="CD226" s="20"/>
      <c r="CE226" s="20"/>
      <c r="CF226" s="20"/>
      <c r="CG226" s="96"/>
      <c r="CH226" s="20"/>
      <c r="CI226" s="20"/>
      <c r="CJ226" s="20"/>
      <c r="CK226" s="20"/>
      <c r="CL226" s="20"/>
      <c r="CM226" s="20"/>
      <c r="CN226" s="11"/>
      <c r="CO226" s="20"/>
      <c r="CP226" s="20"/>
      <c r="CQ226" s="20"/>
      <c r="CR226" s="20"/>
      <c r="CS226" s="20"/>
      <c r="CT226" s="20"/>
      <c r="CU226" s="20"/>
      <c r="CV226" s="20"/>
      <c r="CW226" s="20"/>
      <c r="CX226" s="96"/>
      <c r="CY226" s="112"/>
      <c r="CZ226" s="20"/>
      <c r="DA226" s="26"/>
      <c r="DB226" s="42"/>
      <c r="DC226" s="43"/>
      <c r="DD226" s="62"/>
      <c r="DE226" s="62"/>
      <c r="DF226" s="4"/>
      <c r="DG226" s="4"/>
      <c r="DH226" s="4"/>
      <c r="DI226" s="4"/>
      <c r="DJ226" s="62"/>
      <c r="DK226" s="62"/>
      <c r="DL226" s="209"/>
      <c r="DM226" s="62"/>
      <c r="DN226" s="13"/>
      <c r="DO226" s="7">
        <v>156</v>
      </c>
      <c r="DP226" s="103"/>
      <c r="DQ226" s="19"/>
      <c r="DR226" s="19"/>
      <c r="DS226" s="125"/>
      <c r="DT226" s="132"/>
      <c r="DU226" s="132"/>
      <c r="DV226" s="132"/>
      <c r="DW226" s="146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</row>
    <row r="227" spans="1:138" x14ac:dyDescent="0.2">
      <c r="A227" s="7"/>
      <c r="B227" s="189"/>
      <c r="C227" s="19"/>
      <c r="D227" s="19"/>
      <c r="E227" s="82"/>
      <c r="F227" s="82"/>
      <c r="G227" s="9"/>
      <c r="H227" s="93"/>
      <c r="I227" s="47"/>
      <c r="J227" s="94"/>
      <c r="K227" s="112"/>
      <c r="L227" s="112"/>
      <c r="M227" s="112"/>
      <c r="N227" s="191"/>
      <c r="O227" s="112"/>
      <c r="P227" s="191"/>
      <c r="Q227" s="112"/>
      <c r="R227" s="112"/>
      <c r="S227" s="112"/>
      <c r="T227" s="96"/>
      <c r="U227" s="112"/>
      <c r="V227" s="112"/>
      <c r="W227" s="112"/>
      <c r="X227" s="96"/>
      <c r="Y227" s="96"/>
      <c r="Z227" s="96"/>
      <c r="AA227" s="96"/>
      <c r="AB227" s="96"/>
      <c r="AC227" s="96"/>
      <c r="AD227" s="96"/>
      <c r="AE227" s="110"/>
      <c r="AF227" s="110"/>
      <c r="AG227" s="112"/>
      <c r="AH227" s="112"/>
      <c r="AI227" s="112"/>
      <c r="AJ227" s="112"/>
      <c r="AK227" s="112"/>
      <c r="AL227" s="112"/>
      <c r="AM227" s="112"/>
      <c r="AN227" s="255"/>
      <c r="AO227" s="251"/>
      <c r="AP227" s="112"/>
      <c r="AQ227" s="112"/>
      <c r="AR227" s="112"/>
      <c r="AS227" s="112"/>
      <c r="AT227" s="112"/>
      <c r="AU227" s="112"/>
      <c r="AV227" s="112"/>
      <c r="AW227" s="112"/>
      <c r="AX227" s="112"/>
      <c r="AY227" s="112"/>
      <c r="AZ227" s="96"/>
      <c r="BA227" s="11"/>
      <c r="BB227" s="11"/>
      <c r="BC227" s="96"/>
      <c r="BD227" s="112"/>
      <c r="BE227" s="96"/>
      <c r="BF227" s="112"/>
      <c r="BG227" s="112"/>
      <c r="BH227" s="112"/>
      <c r="BI227" s="112"/>
      <c r="BJ227" s="112"/>
      <c r="BK227" s="112"/>
      <c r="BL227" s="112"/>
      <c r="BM227" s="112"/>
      <c r="BN227" s="112"/>
      <c r="BO227" s="112"/>
      <c r="BP227" s="112"/>
      <c r="BQ227" s="112"/>
      <c r="BR227" s="112"/>
      <c r="BS227" s="11"/>
      <c r="BT227" s="11"/>
      <c r="BU227" s="11"/>
      <c r="BV227" s="11"/>
      <c r="BW227" s="112"/>
      <c r="BX227" s="112"/>
      <c r="BY227" s="112"/>
      <c r="BZ227" s="112"/>
      <c r="CA227" s="112"/>
      <c r="CB227" s="112"/>
      <c r="CC227" s="112"/>
      <c r="CD227" s="112"/>
      <c r="CE227" s="112"/>
      <c r="CF227" s="112"/>
      <c r="CG227" s="96"/>
      <c r="CH227" s="112"/>
      <c r="CI227" s="112"/>
      <c r="CJ227" s="112"/>
      <c r="CK227" s="112"/>
      <c r="CL227" s="112"/>
      <c r="CM227" s="112"/>
      <c r="CN227" s="96"/>
      <c r="CO227" s="112"/>
      <c r="CP227" s="112"/>
      <c r="CQ227" s="112"/>
      <c r="CR227" s="112"/>
      <c r="CS227" s="112"/>
      <c r="CT227" s="112"/>
      <c r="CU227" s="112"/>
      <c r="CV227" s="112"/>
      <c r="CW227" s="112"/>
      <c r="CX227" s="96"/>
      <c r="CY227" s="112"/>
      <c r="CZ227" s="112"/>
      <c r="DA227" s="26"/>
      <c r="DB227" s="42"/>
      <c r="DC227" s="43"/>
      <c r="DD227" s="62"/>
      <c r="DE227" s="62"/>
      <c r="DF227" s="4"/>
      <c r="DG227" s="4"/>
      <c r="DH227" s="4"/>
      <c r="DI227" s="4"/>
      <c r="DJ227" s="62"/>
      <c r="DK227" s="62"/>
      <c r="DL227" s="209"/>
      <c r="DM227" s="62"/>
      <c r="DN227" s="13"/>
      <c r="DO227" s="7">
        <v>157</v>
      </c>
      <c r="DP227" s="103"/>
      <c r="DQ227" s="19"/>
      <c r="DR227" s="19"/>
      <c r="DS227" s="125"/>
      <c r="DT227" s="132"/>
      <c r="DU227" s="132"/>
      <c r="DV227" s="132"/>
      <c r="DW227" s="146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</row>
    <row r="228" spans="1:138" x14ac:dyDescent="0.2">
      <c r="A228" s="7"/>
      <c r="B228" s="200"/>
      <c r="C228" s="19"/>
      <c r="D228" s="19"/>
      <c r="E228" s="82"/>
      <c r="F228" s="82"/>
      <c r="G228" s="9"/>
      <c r="H228" s="93"/>
      <c r="I228" s="47"/>
      <c r="J228" s="94"/>
      <c r="K228" s="112"/>
      <c r="L228" s="112"/>
      <c r="M228" s="112"/>
      <c r="N228" s="112"/>
      <c r="O228" s="112"/>
      <c r="P228" s="112"/>
      <c r="Q228" s="112"/>
      <c r="R228" s="112"/>
      <c r="S228" s="112"/>
      <c r="T228" s="96"/>
      <c r="U228" s="112"/>
      <c r="V228" s="112"/>
      <c r="W228" s="112"/>
      <c r="X228" s="96"/>
      <c r="Y228" s="96"/>
      <c r="Z228" s="96"/>
      <c r="AA228" s="96"/>
      <c r="AB228" s="96"/>
      <c r="AC228" s="96"/>
      <c r="AD228" s="96"/>
      <c r="AE228" s="110"/>
      <c r="AF228" s="110"/>
      <c r="AG228" s="112"/>
      <c r="AH228" s="112"/>
      <c r="AI228" s="112"/>
      <c r="AJ228" s="112"/>
      <c r="AK228" s="112"/>
      <c r="AL228" s="112"/>
      <c r="AM228" s="112"/>
      <c r="AN228" s="255"/>
      <c r="AO228" s="251"/>
      <c r="AP228" s="112"/>
      <c r="AQ228" s="112"/>
      <c r="AR228" s="112"/>
      <c r="AS228" s="112"/>
      <c r="AT228" s="112"/>
      <c r="AU228" s="112"/>
      <c r="AV228" s="112"/>
      <c r="AW228" s="112"/>
      <c r="AX228" s="112"/>
      <c r="AY228" s="112"/>
      <c r="AZ228" s="96"/>
      <c r="BA228" s="11"/>
      <c r="BB228" s="11"/>
      <c r="BC228" s="96"/>
      <c r="BD228" s="112"/>
      <c r="BE228" s="96"/>
      <c r="BF228" s="112"/>
      <c r="BG228" s="112"/>
      <c r="BH228" s="112"/>
      <c r="BI228" s="112"/>
      <c r="BJ228" s="112"/>
      <c r="BK228" s="112"/>
      <c r="BL228" s="112"/>
      <c r="BM228" s="112"/>
      <c r="BN228" s="112"/>
      <c r="BO228" s="112"/>
      <c r="BP228" s="112"/>
      <c r="BQ228" s="112"/>
      <c r="BR228" s="112"/>
      <c r="BS228" s="11"/>
      <c r="BT228" s="11"/>
      <c r="BU228" s="11"/>
      <c r="BV228" s="11"/>
      <c r="BW228" s="112"/>
      <c r="BX228" s="112"/>
      <c r="BY228" s="112"/>
      <c r="BZ228" s="112"/>
      <c r="CA228" s="112"/>
      <c r="CB228" s="112"/>
      <c r="CC228" s="112"/>
      <c r="CD228" s="112"/>
      <c r="CE228" s="112"/>
      <c r="CF228" s="112"/>
      <c r="CG228" s="96"/>
      <c r="CH228" s="112"/>
      <c r="CI228" s="112"/>
      <c r="CJ228" s="112"/>
      <c r="CK228" s="112"/>
      <c r="CL228" s="112"/>
      <c r="CM228" s="112"/>
      <c r="CN228" s="96"/>
      <c r="CO228" s="112"/>
      <c r="CP228" s="112"/>
      <c r="CQ228" s="112"/>
      <c r="CR228" s="112"/>
      <c r="CS228" s="112"/>
      <c r="CT228" s="112"/>
      <c r="CU228" s="112"/>
      <c r="CV228" s="112"/>
      <c r="CW228" s="112"/>
      <c r="CX228" s="96"/>
      <c r="CY228" s="112"/>
      <c r="CZ228" s="112"/>
      <c r="DA228" s="26"/>
      <c r="DB228" s="42"/>
      <c r="DC228" s="43"/>
      <c r="DD228" s="62"/>
      <c r="DE228" s="62"/>
      <c r="DF228" s="4"/>
      <c r="DG228" s="4"/>
      <c r="DH228" s="4"/>
      <c r="DI228" s="4"/>
      <c r="DJ228" s="62"/>
      <c r="DK228" s="62"/>
      <c r="DL228" s="209"/>
      <c r="DM228" s="62"/>
      <c r="DN228" s="13"/>
      <c r="DO228" s="7">
        <v>158</v>
      </c>
      <c r="DP228" s="103"/>
      <c r="DQ228" s="19"/>
      <c r="DR228" s="19"/>
      <c r="DS228" s="125"/>
      <c r="DT228" s="132"/>
      <c r="DU228" s="132"/>
      <c r="DV228" s="132"/>
      <c r="DW228" s="146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</row>
    <row r="229" spans="1:138" x14ac:dyDescent="0.2">
      <c r="A229" s="7"/>
      <c r="B229" s="148"/>
      <c r="C229" s="19"/>
      <c r="D229" s="19"/>
      <c r="E229" s="82"/>
      <c r="F229" s="82"/>
      <c r="G229" s="9"/>
      <c r="H229" s="93"/>
      <c r="I229" s="47"/>
      <c r="J229" s="94"/>
      <c r="K229" s="20"/>
      <c r="L229" s="20"/>
      <c r="M229" s="20"/>
      <c r="N229" s="20"/>
      <c r="O229" s="20"/>
      <c r="P229" s="20"/>
      <c r="Q229" s="20"/>
      <c r="R229" s="20"/>
      <c r="S229" s="20"/>
      <c r="T229" s="96"/>
      <c r="U229" s="20"/>
      <c r="V229" s="20"/>
      <c r="W229" s="20"/>
      <c r="X229" s="96"/>
      <c r="Y229" s="96"/>
      <c r="Z229" s="96"/>
      <c r="AA229" s="96"/>
      <c r="AB229" s="96"/>
      <c r="AC229" s="96"/>
      <c r="AD229" s="96"/>
      <c r="AE229" s="110"/>
      <c r="AF229" s="110"/>
      <c r="AG229" s="20"/>
      <c r="AH229" s="20"/>
      <c r="AI229" s="20"/>
      <c r="AJ229" s="20"/>
      <c r="AK229" s="20"/>
      <c r="AL229" s="20"/>
      <c r="AM229" s="20"/>
      <c r="AN229" s="254"/>
      <c r="AO229" s="251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96"/>
      <c r="BA229" s="11"/>
      <c r="BB229" s="11"/>
      <c r="BC229" s="96"/>
      <c r="BD229" s="20"/>
      <c r="BE229" s="96"/>
      <c r="BF229" s="20"/>
      <c r="BG229" s="20"/>
      <c r="BH229" s="20"/>
      <c r="BI229" s="20"/>
      <c r="BJ229" s="20"/>
      <c r="BK229" s="20"/>
      <c r="BL229" s="20"/>
      <c r="BM229" s="20"/>
      <c r="BN229" s="112"/>
      <c r="BO229" s="20"/>
      <c r="BP229" s="20"/>
      <c r="BQ229" s="20"/>
      <c r="BR229" s="20"/>
      <c r="BS229" s="11"/>
      <c r="BT229" s="11"/>
      <c r="BU229" s="11"/>
      <c r="BV229" s="11"/>
      <c r="BW229" s="112"/>
      <c r="BX229" s="20"/>
      <c r="BY229" s="20"/>
      <c r="BZ229" s="20"/>
      <c r="CA229" s="20"/>
      <c r="CB229" s="20"/>
      <c r="CC229" s="20"/>
      <c r="CD229" s="20"/>
      <c r="CE229" s="20"/>
      <c r="CF229" s="20"/>
      <c r="CG229" s="96"/>
      <c r="CH229" s="20"/>
      <c r="CI229" s="20"/>
      <c r="CJ229" s="20"/>
      <c r="CK229" s="20"/>
      <c r="CL229" s="20"/>
      <c r="CM229" s="20"/>
      <c r="CN229" s="11"/>
      <c r="CO229" s="20"/>
      <c r="CP229" s="20"/>
      <c r="CQ229" s="20"/>
      <c r="CR229" s="20"/>
      <c r="CS229" s="20"/>
      <c r="CT229" s="20"/>
      <c r="CU229" s="20"/>
      <c r="CV229" s="20"/>
      <c r="CW229" s="20"/>
      <c r="CX229" s="96"/>
      <c r="CY229" s="112"/>
      <c r="CZ229" s="20"/>
      <c r="DA229" s="26"/>
      <c r="DB229" s="53"/>
      <c r="DC229" s="68"/>
      <c r="DD229" s="62"/>
      <c r="DE229" s="209"/>
      <c r="DF229" s="115"/>
      <c r="DG229" s="4"/>
      <c r="DH229" s="115"/>
      <c r="DI229" s="115"/>
      <c r="DJ229" s="62"/>
      <c r="DK229" s="62"/>
      <c r="DL229" s="209"/>
      <c r="DM229" s="62"/>
      <c r="DN229" s="13"/>
      <c r="DO229" s="7">
        <v>159</v>
      </c>
      <c r="DP229" s="103"/>
      <c r="DQ229" s="19"/>
      <c r="DR229" s="19"/>
      <c r="DS229" s="125"/>
      <c r="DT229" s="132"/>
      <c r="DU229" s="132"/>
      <c r="DV229" s="132"/>
      <c r="DW229" s="146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</row>
    <row r="230" spans="1:138" x14ac:dyDescent="0.2">
      <c r="A230" s="7"/>
      <c r="B230" s="200"/>
      <c r="C230" s="19"/>
      <c r="D230" s="19"/>
      <c r="E230" s="82"/>
      <c r="F230" s="82"/>
      <c r="G230" s="9"/>
      <c r="H230" s="93"/>
      <c r="I230" s="47"/>
      <c r="J230" s="94"/>
      <c r="K230" s="112"/>
      <c r="L230" s="112"/>
      <c r="M230" s="112"/>
      <c r="N230" s="112"/>
      <c r="O230" s="112"/>
      <c r="P230" s="112"/>
      <c r="Q230" s="112"/>
      <c r="R230" s="112"/>
      <c r="S230" s="112"/>
      <c r="T230" s="96"/>
      <c r="U230" s="112"/>
      <c r="V230" s="112"/>
      <c r="W230" s="112"/>
      <c r="X230" s="96"/>
      <c r="Y230" s="96"/>
      <c r="Z230" s="96"/>
      <c r="AA230" s="96"/>
      <c r="AB230" s="96"/>
      <c r="AC230" s="96"/>
      <c r="AD230" s="96"/>
      <c r="AE230" s="110"/>
      <c r="AF230" s="110"/>
      <c r="AG230" s="112"/>
      <c r="AH230" s="112"/>
      <c r="AI230" s="112"/>
      <c r="AJ230" s="112"/>
      <c r="AK230" s="112"/>
      <c r="AL230" s="112"/>
      <c r="AM230" s="112"/>
      <c r="AN230" s="255"/>
      <c r="AO230" s="251"/>
      <c r="AP230" s="112"/>
      <c r="AQ230" s="112"/>
      <c r="AR230" s="112"/>
      <c r="AS230" s="112"/>
      <c r="AT230" s="112"/>
      <c r="AU230" s="112"/>
      <c r="AV230" s="96"/>
      <c r="AW230" s="112"/>
      <c r="AX230" s="112"/>
      <c r="AY230" s="112"/>
      <c r="AZ230" s="96"/>
      <c r="BA230" s="11"/>
      <c r="BB230" s="11"/>
      <c r="BC230" s="96"/>
      <c r="BD230" s="112"/>
      <c r="BE230" s="96"/>
      <c r="BF230" s="112"/>
      <c r="BG230" s="112"/>
      <c r="BH230" s="112"/>
      <c r="BI230" s="112"/>
      <c r="BJ230" s="112"/>
      <c r="BK230" s="112"/>
      <c r="BL230" s="112"/>
      <c r="BM230" s="112"/>
      <c r="BN230" s="112"/>
      <c r="BO230" s="112"/>
      <c r="BP230" s="112"/>
      <c r="BQ230" s="112"/>
      <c r="BR230" s="112"/>
      <c r="BS230" s="11"/>
      <c r="BT230" s="11"/>
      <c r="BU230" s="11"/>
      <c r="BV230" s="11"/>
      <c r="BW230" s="112"/>
      <c r="BX230" s="112"/>
      <c r="BY230" s="112"/>
      <c r="BZ230" s="112"/>
      <c r="CA230" s="112"/>
      <c r="CB230" s="112"/>
      <c r="CC230" s="112"/>
      <c r="CD230" s="112"/>
      <c r="CE230" s="112"/>
      <c r="CF230" s="112"/>
      <c r="CG230" s="96"/>
      <c r="CH230" s="112"/>
      <c r="CI230" s="112"/>
      <c r="CJ230" s="112"/>
      <c r="CK230" s="112"/>
      <c r="CL230" s="112"/>
      <c r="CM230" s="112"/>
      <c r="CN230" s="96"/>
      <c r="CO230" s="112"/>
      <c r="CP230" s="112"/>
      <c r="CQ230" s="112"/>
      <c r="CR230" s="112"/>
      <c r="CS230" s="112"/>
      <c r="CT230" s="112"/>
      <c r="CU230" s="112"/>
      <c r="CV230" s="112"/>
      <c r="CW230" s="112"/>
      <c r="CX230" s="96"/>
      <c r="CY230" s="112"/>
      <c r="CZ230" s="112"/>
      <c r="DA230" s="26"/>
      <c r="DB230" s="42"/>
      <c r="DC230" s="43"/>
      <c r="DD230" s="62"/>
      <c r="DE230" s="62"/>
      <c r="DF230" s="4"/>
      <c r="DG230" s="4"/>
      <c r="DH230" s="4"/>
      <c r="DI230" s="4"/>
      <c r="DJ230" s="62"/>
      <c r="DK230" s="62"/>
      <c r="DL230" s="209"/>
      <c r="DM230" s="62"/>
      <c r="DN230" s="13"/>
      <c r="DO230" s="7">
        <v>160</v>
      </c>
      <c r="DP230" s="103"/>
      <c r="DQ230" s="19"/>
      <c r="DR230" s="19"/>
      <c r="DS230" s="125"/>
      <c r="DT230" s="132"/>
      <c r="DU230" s="132"/>
      <c r="DV230" s="132"/>
      <c r="DW230" s="146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</row>
    <row r="231" spans="1:138" x14ac:dyDescent="0.2">
      <c r="A231" s="7"/>
      <c r="B231" s="200"/>
      <c r="C231" s="19"/>
      <c r="D231" s="19"/>
      <c r="E231" s="82"/>
      <c r="F231" s="82"/>
      <c r="G231" s="9"/>
      <c r="H231" s="93"/>
      <c r="I231" s="47"/>
      <c r="J231" s="94"/>
      <c r="K231" s="112"/>
      <c r="L231" s="112"/>
      <c r="M231" s="112"/>
      <c r="N231" s="112"/>
      <c r="O231" s="112"/>
      <c r="P231" s="112"/>
      <c r="Q231" s="112"/>
      <c r="R231" s="112"/>
      <c r="S231" s="112"/>
      <c r="T231" s="96"/>
      <c r="U231" s="112"/>
      <c r="V231" s="112"/>
      <c r="W231" s="112"/>
      <c r="X231" s="96"/>
      <c r="Y231" s="96"/>
      <c r="Z231" s="96"/>
      <c r="AA231" s="96"/>
      <c r="AB231" s="96"/>
      <c r="AC231" s="96"/>
      <c r="AD231" s="96"/>
      <c r="AE231" s="110"/>
      <c r="AF231" s="110"/>
      <c r="AG231" s="112"/>
      <c r="AH231" s="112"/>
      <c r="AI231" s="112"/>
      <c r="AJ231" s="112"/>
      <c r="AK231" s="112"/>
      <c r="AL231" s="112"/>
      <c r="AM231" s="112"/>
      <c r="AN231" s="255"/>
      <c r="AO231" s="251"/>
      <c r="AP231" s="112"/>
      <c r="AQ231" s="112"/>
      <c r="AR231" s="112"/>
      <c r="AS231" s="112"/>
      <c r="AT231" s="112"/>
      <c r="AU231" s="112"/>
      <c r="AV231" s="112"/>
      <c r="AW231" s="112"/>
      <c r="AX231" s="112"/>
      <c r="AY231" s="112"/>
      <c r="AZ231" s="96"/>
      <c r="BA231" s="11"/>
      <c r="BB231" s="11"/>
      <c r="BC231" s="96"/>
      <c r="BD231" s="112"/>
      <c r="BE231" s="96"/>
      <c r="BF231" s="112"/>
      <c r="BG231" s="112"/>
      <c r="BH231" s="112"/>
      <c r="BI231" s="112"/>
      <c r="BJ231" s="112"/>
      <c r="BK231" s="112"/>
      <c r="BL231" s="112"/>
      <c r="BM231" s="112"/>
      <c r="BN231" s="112"/>
      <c r="BO231" s="112"/>
      <c r="BP231" s="112"/>
      <c r="BQ231" s="112"/>
      <c r="BR231" s="112"/>
      <c r="BS231" s="11"/>
      <c r="BT231" s="11"/>
      <c r="BU231" s="11"/>
      <c r="BV231" s="11"/>
      <c r="BW231" s="112"/>
      <c r="BX231" s="112"/>
      <c r="BY231" s="112"/>
      <c r="BZ231" s="112"/>
      <c r="CA231" s="112"/>
      <c r="CB231" s="112"/>
      <c r="CC231" s="112"/>
      <c r="CD231" s="112"/>
      <c r="CE231" s="112"/>
      <c r="CF231" s="112"/>
      <c r="CG231" s="96"/>
      <c r="CH231" s="112"/>
      <c r="CI231" s="112"/>
      <c r="CJ231" s="112"/>
      <c r="CK231" s="112"/>
      <c r="CL231" s="112"/>
      <c r="CM231" s="112"/>
      <c r="CN231" s="96"/>
      <c r="CO231" s="112"/>
      <c r="CP231" s="112"/>
      <c r="CQ231" s="112"/>
      <c r="CR231" s="112"/>
      <c r="CS231" s="112"/>
      <c r="CT231" s="112"/>
      <c r="CU231" s="112"/>
      <c r="CV231" s="112"/>
      <c r="CW231" s="112"/>
      <c r="CX231" s="96"/>
      <c r="CY231" s="112"/>
      <c r="CZ231" s="112"/>
      <c r="DA231" s="26"/>
      <c r="DB231" s="42"/>
      <c r="DC231" s="43"/>
      <c r="DD231" s="62"/>
      <c r="DE231" s="62"/>
      <c r="DF231" s="4"/>
      <c r="DG231" s="4"/>
      <c r="DH231" s="4"/>
      <c r="DI231" s="4"/>
      <c r="DJ231" s="62"/>
      <c r="DK231" s="62"/>
      <c r="DL231" s="209"/>
      <c r="DM231" s="62"/>
      <c r="DN231" s="13"/>
      <c r="DO231" s="7">
        <v>161</v>
      </c>
      <c r="DP231" s="103"/>
      <c r="DQ231" s="19"/>
      <c r="DR231" s="19"/>
      <c r="DS231" s="125"/>
      <c r="DT231" s="132"/>
      <c r="DU231" s="132"/>
      <c r="DV231" s="132"/>
      <c r="DW231" s="146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</row>
    <row r="232" spans="1:138" x14ac:dyDescent="0.2">
      <c r="A232" s="7"/>
      <c r="B232" s="148"/>
      <c r="C232" s="19"/>
      <c r="D232" s="19"/>
      <c r="E232" s="82"/>
      <c r="F232" s="82"/>
      <c r="G232" s="9"/>
      <c r="H232" s="93"/>
      <c r="I232" s="47"/>
      <c r="J232" s="94"/>
      <c r="K232" s="20"/>
      <c r="L232" s="20"/>
      <c r="M232" s="20"/>
      <c r="N232" s="20"/>
      <c r="O232" s="20"/>
      <c r="P232" s="20"/>
      <c r="Q232" s="20"/>
      <c r="R232" s="20"/>
      <c r="S232" s="20"/>
      <c r="T232" s="96"/>
      <c r="U232" s="20"/>
      <c r="V232" s="20"/>
      <c r="W232" s="20"/>
      <c r="X232" s="96"/>
      <c r="Y232" s="96"/>
      <c r="Z232" s="96"/>
      <c r="AA232" s="96"/>
      <c r="AB232" s="96"/>
      <c r="AC232" s="96"/>
      <c r="AD232" s="96"/>
      <c r="AE232" s="110"/>
      <c r="AF232" s="110"/>
      <c r="AG232" s="20"/>
      <c r="AH232" s="20"/>
      <c r="AI232" s="20"/>
      <c r="AJ232" s="20"/>
      <c r="AK232" s="20"/>
      <c r="AL232" s="20"/>
      <c r="AM232" s="20"/>
      <c r="AN232" s="254"/>
      <c r="AO232" s="251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96"/>
      <c r="BA232" s="11"/>
      <c r="BB232" s="11"/>
      <c r="BC232" s="96"/>
      <c r="BD232" s="20"/>
      <c r="BE232" s="96"/>
      <c r="BF232" s="20"/>
      <c r="BG232" s="20"/>
      <c r="BH232" s="20"/>
      <c r="BI232" s="20"/>
      <c r="BJ232" s="20"/>
      <c r="BK232" s="20"/>
      <c r="BL232" s="20"/>
      <c r="BM232" s="20"/>
      <c r="BN232" s="112"/>
      <c r="BO232" s="20"/>
      <c r="BP232" s="20"/>
      <c r="BQ232" s="20"/>
      <c r="BR232" s="20"/>
      <c r="BS232" s="11"/>
      <c r="BT232" s="11"/>
      <c r="BU232" s="11"/>
      <c r="BV232" s="11"/>
      <c r="BW232" s="112"/>
      <c r="BX232" s="20"/>
      <c r="BY232" s="20"/>
      <c r="BZ232" s="20"/>
      <c r="CA232" s="20"/>
      <c r="CB232" s="20"/>
      <c r="CC232" s="20"/>
      <c r="CD232" s="20"/>
      <c r="CE232" s="20"/>
      <c r="CF232" s="20"/>
      <c r="CG232" s="96"/>
      <c r="CH232" s="20"/>
      <c r="CI232" s="20"/>
      <c r="CJ232" s="20"/>
      <c r="CK232" s="20"/>
      <c r="CL232" s="20"/>
      <c r="CM232" s="20"/>
      <c r="CN232" s="11"/>
      <c r="CO232" s="20"/>
      <c r="CP232" s="20"/>
      <c r="CQ232" s="20"/>
      <c r="CR232" s="20"/>
      <c r="CS232" s="20"/>
      <c r="CT232" s="20"/>
      <c r="CU232" s="20"/>
      <c r="CV232" s="20"/>
      <c r="CW232" s="20"/>
      <c r="CX232" s="96"/>
      <c r="CY232" s="112"/>
      <c r="CZ232" s="20"/>
      <c r="DA232" s="26"/>
      <c r="DB232" s="42"/>
      <c r="DC232" s="43"/>
      <c r="DD232" s="62"/>
      <c r="DE232" s="62"/>
      <c r="DF232" s="4"/>
      <c r="DG232" s="4"/>
      <c r="DH232" s="4"/>
      <c r="DI232" s="4"/>
      <c r="DJ232" s="62"/>
      <c r="DK232" s="62"/>
      <c r="DL232" s="209"/>
      <c r="DM232" s="62"/>
      <c r="DN232" s="13"/>
      <c r="DO232" s="7">
        <v>162</v>
      </c>
      <c r="DP232" s="103"/>
      <c r="DQ232" s="19"/>
      <c r="DR232" s="19"/>
      <c r="DS232" s="125"/>
      <c r="DT232" s="132"/>
      <c r="DU232" s="132"/>
      <c r="DV232" s="132"/>
      <c r="DW232" s="146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</row>
    <row r="233" spans="1:138" x14ac:dyDescent="0.2">
      <c r="A233" s="7"/>
      <c r="B233" s="200"/>
      <c r="C233" s="19"/>
      <c r="D233" s="19"/>
      <c r="E233" s="82"/>
      <c r="F233" s="82"/>
      <c r="G233" s="9"/>
      <c r="H233" s="93"/>
      <c r="I233" s="47"/>
      <c r="J233" s="94"/>
      <c r="K233" s="112"/>
      <c r="L233" s="112"/>
      <c r="M233" s="112"/>
      <c r="N233" s="112"/>
      <c r="O233" s="112"/>
      <c r="P233" s="112"/>
      <c r="Q233" s="112"/>
      <c r="R233" s="112"/>
      <c r="S233" s="112"/>
      <c r="T233" s="96"/>
      <c r="U233" s="112"/>
      <c r="V233" s="112"/>
      <c r="W233" s="112"/>
      <c r="X233" s="96"/>
      <c r="Y233" s="96"/>
      <c r="Z233" s="96"/>
      <c r="AA233" s="96"/>
      <c r="AB233" s="96"/>
      <c r="AC233" s="96"/>
      <c r="AD233" s="96"/>
      <c r="AE233" s="110"/>
      <c r="AF233" s="110"/>
      <c r="AG233" s="112"/>
      <c r="AH233" s="112"/>
      <c r="AI233" s="112"/>
      <c r="AJ233" s="112"/>
      <c r="AK233" s="112"/>
      <c r="AL233" s="112"/>
      <c r="AM233" s="112"/>
      <c r="AN233" s="255"/>
      <c r="AO233" s="251"/>
      <c r="AP233" s="112"/>
      <c r="AQ233" s="112"/>
      <c r="AR233" s="112"/>
      <c r="AS233" s="112"/>
      <c r="AT233" s="112"/>
      <c r="AU233" s="112"/>
      <c r="AV233" s="112"/>
      <c r="AW233" s="112"/>
      <c r="AX233" s="112"/>
      <c r="AY233" s="112"/>
      <c r="AZ233" s="96"/>
      <c r="BA233" s="11"/>
      <c r="BB233" s="11"/>
      <c r="BC233" s="96"/>
      <c r="BD233" s="112"/>
      <c r="BE233" s="96"/>
      <c r="BF233" s="112"/>
      <c r="BG233" s="112"/>
      <c r="BH233" s="112"/>
      <c r="BI233" s="112"/>
      <c r="BJ233" s="112"/>
      <c r="BK233" s="112"/>
      <c r="BL233" s="112"/>
      <c r="BM233" s="112"/>
      <c r="BN233" s="112"/>
      <c r="BO233" s="112"/>
      <c r="BP233" s="112"/>
      <c r="BQ233" s="112"/>
      <c r="BR233" s="112"/>
      <c r="BS233" s="11"/>
      <c r="BT233" s="11"/>
      <c r="BU233" s="11"/>
      <c r="BV233" s="11"/>
      <c r="BW233" s="112"/>
      <c r="BX233" s="112"/>
      <c r="BY233" s="112"/>
      <c r="BZ233" s="112"/>
      <c r="CA233" s="112"/>
      <c r="CB233" s="112"/>
      <c r="CC233" s="112"/>
      <c r="CD233" s="112"/>
      <c r="CE233" s="112"/>
      <c r="CF233" s="112"/>
      <c r="CG233" s="96"/>
      <c r="CH233" s="112"/>
      <c r="CI233" s="112"/>
      <c r="CJ233" s="112"/>
      <c r="CK233" s="112"/>
      <c r="CL233" s="112"/>
      <c r="CM233" s="112"/>
      <c r="CN233" s="96"/>
      <c r="CO233" s="112"/>
      <c r="CP233" s="112"/>
      <c r="CQ233" s="112"/>
      <c r="CR233" s="112"/>
      <c r="CS233" s="112"/>
      <c r="CT233" s="112"/>
      <c r="CU233" s="112"/>
      <c r="CV233" s="112"/>
      <c r="CW233" s="112"/>
      <c r="CX233" s="96"/>
      <c r="CY233" s="112"/>
      <c r="CZ233" s="112"/>
      <c r="DA233" s="26"/>
      <c r="DB233" s="42"/>
      <c r="DC233" s="43"/>
      <c r="DD233" s="62"/>
      <c r="DE233" s="62"/>
      <c r="DF233" s="4"/>
      <c r="DG233" s="4"/>
      <c r="DH233" s="4"/>
      <c r="DI233" s="4"/>
      <c r="DJ233" s="62"/>
      <c r="DK233" s="62"/>
      <c r="DL233" s="209"/>
      <c r="DM233" s="62"/>
      <c r="DN233" s="13"/>
      <c r="DO233" s="7">
        <v>163</v>
      </c>
      <c r="DP233" s="103"/>
      <c r="DQ233" s="19"/>
      <c r="DR233" s="19"/>
      <c r="DS233" s="125"/>
      <c r="DT233" s="132"/>
      <c r="DU233" s="132"/>
      <c r="DV233" s="132"/>
      <c r="DW233" s="146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</row>
    <row r="234" spans="1:138" x14ac:dyDescent="0.2">
      <c r="A234" s="7"/>
      <c r="B234" s="189"/>
      <c r="C234" s="19"/>
      <c r="D234" s="19"/>
      <c r="E234" s="82"/>
      <c r="F234" s="82"/>
      <c r="G234" s="9"/>
      <c r="H234" s="93"/>
      <c r="I234" s="47"/>
      <c r="J234" s="94"/>
      <c r="K234" s="112"/>
      <c r="L234" s="112"/>
      <c r="M234" s="112"/>
      <c r="N234" s="112"/>
      <c r="O234" s="112"/>
      <c r="P234" s="112"/>
      <c r="Q234" s="112"/>
      <c r="R234" s="112"/>
      <c r="S234" s="112"/>
      <c r="T234" s="96"/>
      <c r="U234" s="112"/>
      <c r="V234" s="112"/>
      <c r="W234" s="112"/>
      <c r="X234" s="96"/>
      <c r="Y234" s="96"/>
      <c r="Z234" s="96"/>
      <c r="AA234" s="96"/>
      <c r="AB234" s="96"/>
      <c r="AC234" s="96"/>
      <c r="AD234" s="96"/>
      <c r="AE234" s="110"/>
      <c r="AF234" s="110"/>
      <c r="AG234" s="112"/>
      <c r="AH234" s="20"/>
      <c r="AI234" s="112"/>
      <c r="AJ234" s="112"/>
      <c r="AK234" s="112"/>
      <c r="AL234" s="112"/>
      <c r="AM234" s="112"/>
      <c r="AN234" s="255"/>
      <c r="AO234" s="251"/>
      <c r="AP234" s="112"/>
      <c r="AQ234" s="112"/>
      <c r="AR234" s="112"/>
      <c r="AS234" s="112"/>
      <c r="AT234" s="112"/>
      <c r="AU234" s="112"/>
      <c r="AV234" s="112"/>
      <c r="AW234" s="112"/>
      <c r="AX234" s="20"/>
      <c r="AY234" s="112"/>
      <c r="AZ234" s="96"/>
      <c r="BA234" s="11"/>
      <c r="BB234" s="11"/>
      <c r="BC234" s="96"/>
      <c r="BD234" s="112"/>
      <c r="BE234" s="96"/>
      <c r="BF234" s="112"/>
      <c r="BG234" s="20"/>
      <c r="BH234" s="112"/>
      <c r="BI234" s="112"/>
      <c r="BJ234" s="112"/>
      <c r="BK234" s="112"/>
      <c r="BL234" s="112"/>
      <c r="BM234" s="112"/>
      <c r="BN234" s="112"/>
      <c r="BO234" s="112"/>
      <c r="BP234" s="112"/>
      <c r="BQ234" s="112"/>
      <c r="BR234" s="112"/>
      <c r="BS234" s="11"/>
      <c r="BT234" s="11"/>
      <c r="BU234" s="11"/>
      <c r="BV234" s="11"/>
      <c r="BW234" s="112"/>
      <c r="BX234" s="112"/>
      <c r="BY234" s="112"/>
      <c r="BZ234" s="112"/>
      <c r="CA234" s="112"/>
      <c r="CB234" s="112"/>
      <c r="CC234" s="112"/>
      <c r="CD234" s="112"/>
      <c r="CE234" s="112"/>
      <c r="CF234" s="112"/>
      <c r="CG234" s="96"/>
      <c r="CH234" s="112"/>
      <c r="CI234" s="112"/>
      <c r="CJ234" s="112"/>
      <c r="CK234" s="112"/>
      <c r="CL234" s="112"/>
      <c r="CM234" s="112"/>
      <c r="CN234" s="96"/>
      <c r="CO234" s="112"/>
      <c r="CP234" s="112"/>
      <c r="CQ234" s="112"/>
      <c r="CR234" s="112"/>
      <c r="CS234" s="112"/>
      <c r="CT234" s="112"/>
      <c r="CU234" s="112"/>
      <c r="CV234" s="112"/>
      <c r="CW234" s="112"/>
      <c r="CX234" s="96"/>
      <c r="CY234" s="112"/>
      <c r="CZ234" s="112"/>
      <c r="DA234" s="26"/>
      <c r="DB234" s="42"/>
      <c r="DC234" s="43"/>
      <c r="DD234" s="62"/>
      <c r="DE234" s="62"/>
      <c r="DF234" s="4"/>
      <c r="DG234" s="4"/>
      <c r="DH234" s="4"/>
      <c r="DI234" s="4"/>
      <c r="DJ234" s="62"/>
      <c r="DK234" s="62"/>
      <c r="DL234" s="209"/>
      <c r="DM234" s="62"/>
      <c r="DN234" s="13"/>
      <c r="DO234" s="7">
        <v>164</v>
      </c>
      <c r="DP234" s="103"/>
      <c r="DQ234" s="19"/>
      <c r="DR234" s="19"/>
      <c r="DS234" s="125"/>
      <c r="DT234" s="132"/>
      <c r="DU234" s="132"/>
      <c r="DV234" s="132"/>
      <c r="DW234" s="146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</row>
    <row r="235" spans="1:138" x14ac:dyDescent="0.2">
      <c r="A235" s="7"/>
      <c r="B235" s="189"/>
      <c r="C235" s="19"/>
      <c r="D235" s="19"/>
      <c r="E235" s="82"/>
      <c r="F235" s="82"/>
      <c r="G235" s="9"/>
      <c r="H235" s="93"/>
      <c r="I235" s="47"/>
      <c r="J235" s="94"/>
      <c r="K235" s="112"/>
      <c r="L235" s="112"/>
      <c r="M235" s="112"/>
      <c r="N235" s="112"/>
      <c r="O235" s="112"/>
      <c r="P235" s="112"/>
      <c r="Q235" s="112"/>
      <c r="R235" s="112"/>
      <c r="S235" s="112"/>
      <c r="T235" s="96"/>
      <c r="U235" s="112"/>
      <c r="V235" s="112"/>
      <c r="W235" s="112"/>
      <c r="X235" s="96"/>
      <c r="Y235" s="96"/>
      <c r="Z235" s="96"/>
      <c r="AA235" s="96"/>
      <c r="AB235" s="96"/>
      <c r="AC235" s="96"/>
      <c r="AD235" s="96"/>
      <c r="AE235" s="110"/>
      <c r="AF235" s="110"/>
      <c r="AG235" s="112"/>
      <c r="AH235" s="112"/>
      <c r="AI235" s="112"/>
      <c r="AJ235" s="112"/>
      <c r="AK235" s="112"/>
      <c r="AL235" s="112"/>
      <c r="AM235" s="112"/>
      <c r="AN235" s="255"/>
      <c r="AO235" s="251"/>
      <c r="AP235" s="112"/>
      <c r="AQ235" s="112"/>
      <c r="AR235" s="112"/>
      <c r="AS235" s="112"/>
      <c r="AT235" s="112"/>
      <c r="AU235" s="112"/>
      <c r="AV235" s="112"/>
      <c r="AW235" s="112"/>
      <c r="AX235" s="112"/>
      <c r="AY235" s="112"/>
      <c r="AZ235" s="96"/>
      <c r="BA235" s="11"/>
      <c r="BB235" s="11"/>
      <c r="BC235" s="96"/>
      <c r="BD235" s="112"/>
      <c r="BE235" s="96"/>
      <c r="BF235" s="112"/>
      <c r="BG235" s="112"/>
      <c r="BH235" s="112"/>
      <c r="BI235" s="112"/>
      <c r="BJ235" s="112"/>
      <c r="BK235" s="112"/>
      <c r="BL235" s="112"/>
      <c r="BM235" s="112"/>
      <c r="BN235" s="112"/>
      <c r="BO235" s="112"/>
      <c r="BP235" s="112"/>
      <c r="BQ235" s="112"/>
      <c r="BR235" s="112"/>
      <c r="BS235" s="11"/>
      <c r="BT235" s="11"/>
      <c r="BU235" s="11"/>
      <c r="BV235" s="11"/>
      <c r="BW235" s="112"/>
      <c r="BX235" s="112"/>
      <c r="BY235" s="112"/>
      <c r="BZ235" s="112"/>
      <c r="CA235" s="112"/>
      <c r="CB235" s="112"/>
      <c r="CC235" s="112"/>
      <c r="CD235" s="112"/>
      <c r="CE235" s="112"/>
      <c r="CF235" s="112"/>
      <c r="CG235" s="96"/>
      <c r="CH235" s="112"/>
      <c r="CI235" s="112"/>
      <c r="CJ235" s="112"/>
      <c r="CK235" s="112"/>
      <c r="CL235" s="112"/>
      <c r="CM235" s="112"/>
      <c r="CN235" s="96"/>
      <c r="CO235" s="112"/>
      <c r="CP235" s="112"/>
      <c r="CQ235" s="112"/>
      <c r="CR235" s="112"/>
      <c r="CS235" s="112"/>
      <c r="CT235" s="112"/>
      <c r="CU235" s="112"/>
      <c r="CV235" s="112"/>
      <c r="CW235" s="112"/>
      <c r="CX235" s="96"/>
      <c r="CY235" s="112"/>
      <c r="CZ235" s="112"/>
      <c r="DA235" s="26"/>
      <c r="DB235" s="42"/>
      <c r="DC235" s="43"/>
      <c r="DD235" s="62"/>
      <c r="DE235" s="62"/>
      <c r="DF235" s="4"/>
      <c r="DG235" s="4"/>
      <c r="DH235" s="4"/>
      <c r="DI235" s="4"/>
      <c r="DJ235" s="62"/>
      <c r="DK235" s="62"/>
      <c r="DL235" s="209"/>
      <c r="DM235" s="62"/>
      <c r="DN235" s="13"/>
      <c r="DO235" s="7">
        <v>165</v>
      </c>
      <c r="DP235" s="103"/>
      <c r="DQ235" s="19"/>
      <c r="DR235" s="19"/>
      <c r="DS235" s="125"/>
      <c r="DT235" s="132"/>
      <c r="DU235" s="132"/>
      <c r="DV235" s="132"/>
      <c r="DW235" s="146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</row>
    <row r="236" spans="1:138" x14ac:dyDescent="0.2">
      <c r="A236" s="7"/>
      <c r="B236" s="148"/>
      <c r="C236" s="19"/>
      <c r="D236" s="19"/>
      <c r="E236" s="82"/>
      <c r="F236" s="82"/>
      <c r="G236" s="9"/>
      <c r="H236" s="93"/>
      <c r="I236" s="47"/>
      <c r="J236" s="94"/>
      <c r="K236" s="20"/>
      <c r="L236" s="20"/>
      <c r="M236" s="20"/>
      <c r="N236" s="20"/>
      <c r="O236" s="20"/>
      <c r="P236" s="20"/>
      <c r="Q236" s="20"/>
      <c r="R236" s="20"/>
      <c r="S236" s="20"/>
      <c r="T236" s="11"/>
      <c r="U236" s="20"/>
      <c r="V236" s="20"/>
      <c r="W236" s="20"/>
      <c r="X236" s="96"/>
      <c r="Y236" s="96"/>
      <c r="Z236" s="96"/>
      <c r="AA236" s="96"/>
      <c r="AB236" s="96"/>
      <c r="AC236" s="96"/>
      <c r="AD236" s="96"/>
      <c r="AE236" s="110"/>
      <c r="AF236" s="110"/>
      <c r="AG236" s="20"/>
      <c r="AH236" s="20"/>
      <c r="AI236" s="20"/>
      <c r="AJ236" s="20"/>
      <c r="AK236" s="20"/>
      <c r="AL236" s="20"/>
      <c r="AM236" s="20"/>
      <c r="AN236" s="254"/>
      <c r="AO236" s="251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96"/>
      <c r="BA236" s="11"/>
      <c r="BB236" s="11"/>
      <c r="BC236" s="96"/>
      <c r="BD236" s="20"/>
      <c r="BE236" s="96"/>
      <c r="BF236" s="20"/>
      <c r="BG236" s="20"/>
      <c r="BH236" s="20"/>
      <c r="BI236" s="20"/>
      <c r="BJ236" s="20"/>
      <c r="BK236" s="20"/>
      <c r="BL236" s="20"/>
      <c r="BM236" s="20"/>
      <c r="BN236" s="112"/>
      <c r="BO236" s="20"/>
      <c r="BP236" s="20"/>
      <c r="BQ236" s="20"/>
      <c r="BR236" s="20"/>
      <c r="BS236" s="11"/>
      <c r="BT236" s="11"/>
      <c r="BU236" s="11"/>
      <c r="BV236" s="11"/>
      <c r="BW236" s="112"/>
      <c r="BX236" s="20"/>
      <c r="BY236" s="20"/>
      <c r="BZ236" s="20"/>
      <c r="CA236" s="20"/>
      <c r="CB236" s="20"/>
      <c r="CC236" s="20"/>
      <c r="CD236" s="20"/>
      <c r="CE236" s="20"/>
      <c r="CF236" s="20"/>
      <c r="CG236" s="96"/>
      <c r="CH236" s="20"/>
      <c r="CI236" s="20"/>
      <c r="CJ236" s="20"/>
      <c r="CK236" s="20"/>
      <c r="CL236" s="20"/>
      <c r="CM236" s="20"/>
      <c r="CN236" s="11"/>
      <c r="CO236" s="20"/>
      <c r="CP236" s="20"/>
      <c r="CQ236" s="20"/>
      <c r="CR236" s="20"/>
      <c r="CS236" s="20"/>
      <c r="CT236" s="20"/>
      <c r="CU236" s="20"/>
      <c r="CV236" s="20"/>
      <c r="CW236" s="20"/>
      <c r="CX236" s="96"/>
      <c r="CY236" s="112"/>
      <c r="CZ236" s="20"/>
      <c r="DA236" s="26"/>
      <c r="DB236" s="53"/>
      <c r="DC236" s="68"/>
      <c r="DD236" s="62"/>
      <c r="DE236" s="209"/>
      <c r="DF236" s="115"/>
      <c r="DG236" s="4"/>
      <c r="DH236" s="115"/>
      <c r="DI236" s="115"/>
      <c r="DJ236" s="62"/>
      <c r="DK236" s="62"/>
      <c r="DL236" s="209"/>
      <c r="DM236" s="62"/>
      <c r="DN236" s="13"/>
      <c r="DO236" s="7">
        <v>166</v>
      </c>
      <c r="DP236" s="103"/>
      <c r="DQ236" s="19"/>
      <c r="DR236" s="19"/>
      <c r="DS236" s="125"/>
      <c r="DT236" s="132"/>
      <c r="DU236" s="132"/>
      <c r="DV236" s="132"/>
      <c r="DW236" s="146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</row>
    <row r="237" spans="1:138" x14ac:dyDescent="0.2">
      <c r="A237" s="7"/>
      <c r="B237" s="189"/>
      <c r="C237" s="19"/>
      <c r="D237" s="19"/>
      <c r="E237" s="82"/>
      <c r="F237" s="82"/>
      <c r="G237" s="9"/>
      <c r="H237" s="93"/>
      <c r="I237" s="47"/>
      <c r="J237" s="94"/>
      <c r="K237" s="112"/>
      <c r="L237" s="112"/>
      <c r="M237" s="112"/>
      <c r="N237" s="112"/>
      <c r="O237" s="112"/>
      <c r="P237" s="112"/>
      <c r="Q237" s="112"/>
      <c r="R237" s="112"/>
      <c r="S237" s="112"/>
      <c r="T237" s="96"/>
      <c r="U237" s="112"/>
      <c r="V237" s="112"/>
      <c r="W237" s="112"/>
      <c r="X237" s="96"/>
      <c r="Y237" s="96"/>
      <c r="Z237" s="96"/>
      <c r="AA237" s="96"/>
      <c r="AB237" s="96"/>
      <c r="AC237" s="96"/>
      <c r="AD237" s="96"/>
      <c r="AE237" s="110"/>
      <c r="AF237" s="110"/>
      <c r="AG237" s="112"/>
      <c r="AH237" s="112"/>
      <c r="AI237" s="112"/>
      <c r="AJ237" s="112"/>
      <c r="AK237" s="112"/>
      <c r="AL237" s="112"/>
      <c r="AM237" s="112"/>
      <c r="AN237" s="255"/>
      <c r="AO237" s="251"/>
      <c r="AP237" s="112"/>
      <c r="AQ237" s="112"/>
      <c r="AR237" s="112"/>
      <c r="AS237" s="112"/>
      <c r="AT237" s="112"/>
      <c r="AU237" s="112"/>
      <c r="AV237" s="112"/>
      <c r="AW237" s="112"/>
      <c r="AX237" s="112"/>
      <c r="AY237" s="112"/>
      <c r="AZ237" s="96"/>
      <c r="BA237" s="11"/>
      <c r="BB237" s="11"/>
      <c r="BC237" s="96"/>
      <c r="BD237" s="112"/>
      <c r="BE237" s="96"/>
      <c r="BF237" s="112"/>
      <c r="BG237" s="112"/>
      <c r="BH237" s="112"/>
      <c r="BI237" s="112"/>
      <c r="BJ237" s="112"/>
      <c r="BK237" s="112"/>
      <c r="BL237" s="112"/>
      <c r="BM237" s="112"/>
      <c r="BN237" s="112"/>
      <c r="BO237" s="112"/>
      <c r="BP237" s="112"/>
      <c r="BQ237" s="112"/>
      <c r="BR237" s="112"/>
      <c r="BS237" s="11"/>
      <c r="BT237" s="11"/>
      <c r="BU237" s="11"/>
      <c r="BV237" s="11"/>
      <c r="BW237" s="112"/>
      <c r="BX237" s="112"/>
      <c r="BY237" s="112"/>
      <c r="BZ237" s="112"/>
      <c r="CA237" s="112"/>
      <c r="CB237" s="112"/>
      <c r="CC237" s="112"/>
      <c r="CD237" s="112"/>
      <c r="CE237" s="112"/>
      <c r="CF237" s="112"/>
      <c r="CG237" s="96"/>
      <c r="CH237" s="112"/>
      <c r="CI237" s="112"/>
      <c r="CJ237" s="112"/>
      <c r="CK237" s="112"/>
      <c r="CL237" s="112"/>
      <c r="CM237" s="112"/>
      <c r="CN237" s="96"/>
      <c r="CO237" s="112"/>
      <c r="CP237" s="112"/>
      <c r="CQ237" s="112"/>
      <c r="CR237" s="112"/>
      <c r="CS237" s="112"/>
      <c r="CT237" s="96"/>
      <c r="CU237" s="112"/>
      <c r="CV237" s="96"/>
      <c r="CW237" s="112"/>
      <c r="CX237" s="96"/>
      <c r="CY237" s="112"/>
      <c r="CZ237" s="112"/>
      <c r="DA237" s="26"/>
      <c r="DB237" s="42"/>
      <c r="DC237" s="43"/>
      <c r="DD237" s="62"/>
      <c r="DE237" s="62"/>
      <c r="DF237" s="4"/>
      <c r="DG237" s="4"/>
      <c r="DH237" s="4"/>
      <c r="DI237" s="4"/>
      <c r="DJ237" s="62"/>
      <c r="DK237" s="62"/>
      <c r="DL237" s="209"/>
      <c r="DM237" s="62"/>
      <c r="DN237" s="13"/>
      <c r="DO237" s="7">
        <v>167</v>
      </c>
      <c r="DP237" s="103"/>
      <c r="DQ237" s="19"/>
      <c r="DR237" s="19"/>
      <c r="DS237" s="125"/>
      <c r="DT237" s="132"/>
      <c r="DU237" s="132"/>
      <c r="DV237" s="132"/>
      <c r="DW237" s="146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</row>
    <row r="238" spans="1:138" x14ac:dyDescent="0.2">
      <c r="A238" s="7"/>
      <c r="B238" s="189"/>
      <c r="C238" s="19"/>
      <c r="D238" s="19"/>
      <c r="E238" s="82"/>
      <c r="F238" s="82"/>
      <c r="G238" s="9"/>
      <c r="H238" s="93"/>
      <c r="I238" s="47"/>
      <c r="J238" s="94"/>
      <c r="K238" s="20"/>
      <c r="L238" s="20"/>
      <c r="M238" s="20"/>
      <c r="N238" s="20"/>
      <c r="O238" s="20"/>
      <c r="P238" s="20"/>
      <c r="Q238" s="20"/>
      <c r="R238" s="20"/>
      <c r="S238" s="112"/>
      <c r="T238" s="11"/>
      <c r="U238" s="20"/>
      <c r="V238" s="20"/>
      <c r="W238" s="20"/>
      <c r="X238" s="96"/>
      <c r="Y238" s="11"/>
      <c r="Z238" s="11"/>
      <c r="AA238" s="96"/>
      <c r="AB238" s="11"/>
      <c r="AC238" s="11"/>
      <c r="AD238" s="96"/>
      <c r="AE238" s="79"/>
      <c r="AF238" s="79"/>
      <c r="AG238" s="20"/>
      <c r="AH238" s="20"/>
      <c r="AI238" s="20"/>
      <c r="AJ238" s="20"/>
      <c r="AK238" s="20"/>
      <c r="AL238" s="20"/>
      <c r="AM238" s="20"/>
      <c r="AN238" s="254"/>
      <c r="AO238" s="251"/>
      <c r="AP238" s="20"/>
      <c r="AQ238" s="112"/>
      <c r="AR238" s="20"/>
      <c r="AS238" s="20"/>
      <c r="AT238" s="20"/>
      <c r="AU238" s="20"/>
      <c r="AV238" s="20"/>
      <c r="AW238" s="20"/>
      <c r="AX238" s="20"/>
      <c r="AY238" s="112"/>
      <c r="AZ238" s="96"/>
      <c r="BA238" s="11"/>
      <c r="BB238" s="11"/>
      <c r="BC238" s="11"/>
      <c r="BD238" s="20"/>
      <c r="BE238" s="11"/>
      <c r="BF238" s="20"/>
      <c r="BG238" s="20"/>
      <c r="BH238" s="20"/>
      <c r="BI238" s="20"/>
      <c r="BJ238" s="20"/>
      <c r="BK238" s="20"/>
      <c r="BL238" s="20"/>
      <c r="BM238" s="112"/>
      <c r="BN238" s="20"/>
      <c r="BO238" s="112"/>
      <c r="BP238" s="20"/>
      <c r="BQ238" s="20"/>
      <c r="BR238" s="20"/>
      <c r="BS238" s="11"/>
      <c r="BT238" s="11"/>
      <c r="BU238" s="11"/>
      <c r="BV238" s="11"/>
      <c r="BW238" s="20"/>
      <c r="BX238" s="20"/>
      <c r="BY238" s="112"/>
      <c r="BZ238" s="20"/>
      <c r="CA238" s="20"/>
      <c r="CB238" s="20"/>
      <c r="CC238" s="20"/>
      <c r="CD238" s="20"/>
      <c r="CE238" s="20"/>
      <c r="CF238" s="20"/>
      <c r="CG238" s="96"/>
      <c r="CH238" s="112"/>
      <c r="CI238" s="20"/>
      <c r="CJ238" s="112"/>
      <c r="CK238" s="112"/>
      <c r="CL238" s="20"/>
      <c r="CM238" s="20"/>
      <c r="CN238" s="11"/>
      <c r="CO238" s="20"/>
      <c r="CP238" s="20"/>
      <c r="CQ238" s="20"/>
      <c r="CR238" s="20"/>
      <c r="CS238" s="20"/>
      <c r="CT238" s="11"/>
      <c r="CU238" s="20"/>
      <c r="CV238" s="11"/>
      <c r="CW238" s="20"/>
      <c r="CX238" s="11"/>
      <c r="CY238" s="20"/>
      <c r="CZ238" s="20"/>
      <c r="DA238" s="26"/>
      <c r="DB238" s="42"/>
      <c r="DC238" s="43"/>
      <c r="DD238" s="62"/>
      <c r="DE238" s="62"/>
      <c r="DF238" s="4"/>
      <c r="DG238" s="4"/>
      <c r="DH238" s="4"/>
      <c r="DI238" s="4"/>
      <c r="DJ238" s="62"/>
      <c r="DK238" s="62"/>
      <c r="DL238" s="209"/>
      <c r="DM238" s="62"/>
      <c r="DN238" s="13"/>
      <c r="DO238" s="7">
        <v>168</v>
      </c>
      <c r="DP238" s="103"/>
      <c r="DQ238" s="19"/>
      <c r="DR238" s="19"/>
      <c r="DS238" s="125"/>
      <c r="DT238" s="132"/>
      <c r="DU238" s="132"/>
      <c r="DV238" s="132"/>
      <c r="DW238" s="146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</row>
    <row r="239" spans="1:138" x14ac:dyDescent="0.2">
      <c r="A239" s="7"/>
      <c r="B239" s="148"/>
      <c r="C239" s="19"/>
      <c r="D239" s="19"/>
      <c r="E239" s="82"/>
      <c r="F239" s="82"/>
      <c r="G239" s="9"/>
      <c r="H239" s="93"/>
      <c r="I239" s="47"/>
      <c r="J239" s="94"/>
      <c r="K239" s="20"/>
      <c r="L239" s="20"/>
      <c r="M239" s="20"/>
      <c r="N239" s="20"/>
      <c r="O239" s="20"/>
      <c r="P239" s="20"/>
      <c r="Q239" s="20"/>
      <c r="R239" s="20"/>
      <c r="S239" s="20"/>
      <c r="T239" s="96"/>
      <c r="U239" s="20"/>
      <c r="V239" s="20"/>
      <c r="W239" s="20"/>
      <c r="X239" s="96"/>
      <c r="Y239" s="96"/>
      <c r="Z239" s="96"/>
      <c r="AA239" s="96"/>
      <c r="AB239" s="96"/>
      <c r="AC239" s="96"/>
      <c r="AD239" s="96"/>
      <c r="AE239" s="110"/>
      <c r="AF239" s="110"/>
      <c r="AG239" s="20"/>
      <c r="AH239" s="20"/>
      <c r="AI239" s="20"/>
      <c r="AJ239" s="20"/>
      <c r="AK239" s="20"/>
      <c r="AL239" s="20"/>
      <c r="AM239" s="20"/>
      <c r="AN239" s="254"/>
      <c r="AO239" s="251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96"/>
      <c r="BA239" s="11"/>
      <c r="BB239" s="11"/>
      <c r="BC239" s="96"/>
      <c r="BD239" s="20"/>
      <c r="BE239" s="96"/>
      <c r="BF239" s="20"/>
      <c r="BG239" s="20"/>
      <c r="BH239" s="20"/>
      <c r="BI239" s="20"/>
      <c r="BJ239" s="20"/>
      <c r="BK239" s="20"/>
      <c r="BL239" s="20"/>
      <c r="BM239" s="20"/>
      <c r="BN239" s="112"/>
      <c r="BO239" s="20"/>
      <c r="BP239" s="20"/>
      <c r="BQ239" s="20"/>
      <c r="BR239" s="20"/>
      <c r="BS239" s="11"/>
      <c r="BT239" s="11"/>
      <c r="BU239" s="11"/>
      <c r="BV239" s="11"/>
      <c r="BW239" s="112"/>
      <c r="BX239" s="20"/>
      <c r="BY239" s="20"/>
      <c r="BZ239" s="20"/>
      <c r="CA239" s="20"/>
      <c r="CB239" s="20"/>
      <c r="CC239" s="20"/>
      <c r="CD239" s="20"/>
      <c r="CE239" s="20"/>
      <c r="CF239" s="20"/>
      <c r="CG239" s="96"/>
      <c r="CH239" s="20"/>
      <c r="CI239" s="20"/>
      <c r="CJ239" s="20"/>
      <c r="CK239" s="20"/>
      <c r="CL239" s="20"/>
      <c r="CM239" s="20"/>
      <c r="CN239" s="11"/>
      <c r="CO239" s="20"/>
      <c r="CP239" s="20"/>
      <c r="CQ239" s="20"/>
      <c r="CR239" s="20"/>
      <c r="CS239" s="20"/>
      <c r="CT239" s="20"/>
      <c r="CU239" s="20"/>
      <c r="CV239" s="20"/>
      <c r="CW239" s="20"/>
      <c r="CX239" s="96"/>
      <c r="CY239" s="112"/>
      <c r="CZ239" s="20"/>
      <c r="DA239" s="26"/>
      <c r="DB239" s="42"/>
      <c r="DC239" s="43"/>
      <c r="DD239" s="62"/>
      <c r="DE239" s="62"/>
      <c r="DF239" s="4"/>
      <c r="DG239" s="4"/>
      <c r="DH239" s="4"/>
      <c r="DI239" s="4"/>
      <c r="DJ239" s="62"/>
      <c r="DK239" s="62"/>
      <c r="DL239" s="209"/>
      <c r="DM239" s="62"/>
      <c r="DN239" s="13"/>
      <c r="DO239" s="7">
        <v>169</v>
      </c>
      <c r="DP239" s="103"/>
      <c r="DQ239" s="19"/>
      <c r="DR239" s="19"/>
      <c r="DS239" s="125"/>
      <c r="DT239" s="132"/>
      <c r="DU239" s="132"/>
      <c r="DV239" s="132"/>
      <c r="DW239" s="146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</row>
    <row r="240" spans="1:138" x14ac:dyDescent="0.2">
      <c r="A240" s="7"/>
      <c r="B240" s="189"/>
      <c r="C240" s="19"/>
      <c r="D240" s="19"/>
      <c r="E240" s="82"/>
      <c r="F240" s="82"/>
      <c r="G240" s="9"/>
      <c r="H240" s="93"/>
      <c r="I240" s="47"/>
      <c r="J240" s="94"/>
      <c r="K240" s="112"/>
      <c r="L240" s="112"/>
      <c r="M240" s="112"/>
      <c r="N240" s="112"/>
      <c r="O240" s="112"/>
      <c r="P240" s="112"/>
      <c r="Q240" s="112"/>
      <c r="R240" s="112"/>
      <c r="S240" s="112"/>
      <c r="T240" s="96"/>
      <c r="U240" s="112"/>
      <c r="V240" s="112"/>
      <c r="W240" s="112"/>
      <c r="X240" s="96"/>
      <c r="Y240" s="96"/>
      <c r="Z240" s="96"/>
      <c r="AA240" s="96"/>
      <c r="AB240" s="96"/>
      <c r="AC240" s="96"/>
      <c r="AD240" s="96"/>
      <c r="AE240" s="110"/>
      <c r="AF240" s="110"/>
      <c r="AG240" s="112"/>
      <c r="AH240" s="112"/>
      <c r="AI240" s="112"/>
      <c r="AJ240" s="112"/>
      <c r="AK240" s="112"/>
      <c r="AL240" s="112"/>
      <c r="AM240" s="112"/>
      <c r="AN240" s="255"/>
      <c r="AO240" s="251"/>
      <c r="AP240" s="112"/>
      <c r="AQ240" s="112"/>
      <c r="AR240" s="112"/>
      <c r="AS240" s="112"/>
      <c r="AT240" s="112"/>
      <c r="AU240" s="112"/>
      <c r="AV240" s="112"/>
      <c r="AW240" s="112"/>
      <c r="AX240" s="112"/>
      <c r="AY240" s="112"/>
      <c r="AZ240" s="96"/>
      <c r="BA240" s="11"/>
      <c r="BB240" s="11"/>
      <c r="BC240" s="96"/>
      <c r="BD240" s="112"/>
      <c r="BE240" s="96"/>
      <c r="BF240" s="112"/>
      <c r="BG240" s="112"/>
      <c r="BH240" s="112"/>
      <c r="BI240" s="112"/>
      <c r="BJ240" s="112"/>
      <c r="BK240" s="112"/>
      <c r="BL240" s="112"/>
      <c r="BM240" s="112"/>
      <c r="BN240" s="112"/>
      <c r="BO240" s="112"/>
      <c r="BP240" s="112"/>
      <c r="BQ240" s="112"/>
      <c r="BR240" s="112"/>
      <c r="BS240" s="11"/>
      <c r="BT240" s="11"/>
      <c r="BU240" s="11"/>
      <c r="BV240" s="11"/>
      <c r="BW240" s="112"/>
      <c r="BX240" s="112"/>
      <c r="BY240" s="112"/>
      <c r="BZ240" s="112"/>
      <c r="CA240" s="112"/>
      <c r="CB240" s="112"/>
      <c r="CC240" s="112"/>
      <c r="CD240" s="112"/>
      <c r="CE240" s="112"/>
      <c r="CF240" s="112"/>
      <c r="CG240" s="96"/>
      <c r="CH240" s="112"/>
      <c r="CI240" s="112"/>
      <c r="CJ240" s="112"/>
      <c r="CK240" s="112"/>
      <c r="CL240" s="112"/>
      <c r="CM240" s="112"/>
      <c r="CN240" s="96"/>
      <c r="CO240" s="112"/>
      <c r="CP240" s="112"/>
      <c r="CQ240" s="112"/>
      <c r="CR240" s="112"/>
      <c r="CS240" s="112"/>
      <c r="CT240" s="112"/>
      <c r="CU240" s="112"/>
      <c r="CV240" s="112"/>
      <c r="CW240" s="112"/>
      <c r="CX240" s="96"/>
      <c r="CY240" s="112"/>
      <c r="CZ240" s="112"/>
      <c r="DA240" s="26"/>
      <c r="DB240" s="42"/>
      <c r="DC240" s="43"/>
      <c r="DD240" s="62"/>
      <c r="DE240" s="62"/>
      <c r="DF240" s="4"/>
      <c r="DG240" s="4"/>
      <c r="DH240" s="4"/>
      <c r="DI240" s="4"/>
      <c r="DJ240" s="62"/>
      <c r="DK240" s="62"/>
      <c r="DL240" s="209"/>
      <c r="DM240" s="62"/>
      <c r="DN240" s="13"/>
      <c r="DO240" s="7">
        <v>170</v>
      </c>
      <c r="DP240" s="103"/>
      <c r="DQ240" s="19"/>
      <c r="DR240" s="19"/>
      <c r="DS240" s="125"/>
      <c r="DT240" s="132"/>
      <c r="DU240" s="132"/>
      <c r="DV240" s="132"/>
      <c r="DW240" s="146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</row>
    <row r="241" spans="1:138" x14ac:dyDescent="0.2">
      <c r="A241" s="7"/>
      <c r="B241" s="189"/>
      <c r="C241" s="19"/>
      <c r="D241" s="19"/>
      <c r="E241" s="82"/>
      <c r="F241" s="82"/>
      <c r="G241" s="9"/>
      <c r="H241" s="93"/>
      <c r="I241" s="47"/>
      <c r="J241" s="94"/>
      <c r="K241" s="112"/>
      <c r="L241" s="112"/>
      <c r="M241" s="112"/>
      <c r="N241" s="112"/>
      <c r="O241" s="112"/>
      <c r="P241" s="112"/>
      <c r="Q241" s="112"/>
      <c r="R241" s="112"/>
      <c r="S241" s="112"/>
      <c r="T241" s="96"/>
      <c r="U241" s="112"/>
      <c r="V241" s="112"/>
      <c r="W241" s="112"/>
      <c r="X241" s="96"/>
      <c r="Y241" s="96"/>
      <c r="Z241" s="96"/>
      <c r="AA241" s="96"/>
      <c r="AB241" s="96"/>
      <c r="AC241" s="96"/>
      <c r="AD241" s="96"/>
      <c r="AE241" s="110"/>
      <c r="AF241" s="110"/>
      <c r="AG241" s="112"/>
      <c r="AH241" s="112"/>
      <c r="AI241" s="112"/>
      <c r="AJ241" s="112"/>
      <c r="AK241" s="112"/>
      <c r="AL241" s="112"/>
      <c r="AM241" s="112"/>
      <c r="AN241" s="255"/>
      <c r="AO241" s="251"/>
      <c r="AP241" s="112"/>
      <c r="AQ241" s="112"/>
      <c r="AR241" s="112"/>
      <c r="AS241" s="112"/>
      <c r="AT241" s="112"/>
      <c r="AU241" s="112"/>
      <c r="AV241" s="112"/>
      <c r="AW241" s="112"/>
      <c r="AX241" s="112"/>
      <c r="AY241" s="112"/>
      <c r="AZ241" s="96"/>
      <c r="BA241" s="11"/>
      <c r="BB241" s="11"/>
      <c r="BC241" s="96"/>
      <c r="BD241" s="112"/>
      <c r="BE241" s="96"/>
      <c r="BF241" s="112"/>
      <c r="BG241" s="112"/>
      <c r="BH241" s="112"/>
      <c r="BI241" s="112"/>
      <c r="BJ241" s="112"/>
      <c r="BK241" s="112"/>
      <c r="BL241" s="112"/>
      <c r="BM241" s="112"/>
      <c r="BN241" s="112"/>
      <c r="BO241" s="112"/>
      <c r="BP241" s="112"/>
      <c r="BQ241" s="112"/>
      <c r="BR241" s="112"/>
      <c r="BS241" s="112"/>
      <c r="BT241" s="112"/>
      <c r="BU241" s="112"/>
      <c r="BV241" s="112"/>
      <c r="BW241" s="112"/>
      <c r="BX241" s="112"/>
      <c r="BY241" s="112"/>
      <c r="BZ241" s="112"/>
      <c r="CA241" s="112"/>
      <c r="CB241" s="112"/>
      <c r="CC241" s="112"/>
      <c r="CD241" s="112"/>
      <c r="CE241" s="112"/>
      <c r="CF241" s="112"/>
      <c r="CG241" s="96"/>
      <c r="CH241" s="112"/>
      <c r="CI241" s="112"/>
      <c r="CJ241" s="112"/>
      <c r="CK241" s="112"/>
      <c r="CL241" s="112"/>
      <c r="CM241" s="112"/>
      <c r="CN241" s="96"/>
      <c r="CO241" s="112"/>
      <c r="CP241" s="112"/>
      <c r="CQ241" s="112"/>
      <c r="CR241" s="112"/>
      <c r="CS241" s="112"/>
      <c r="CT241" s="112"/>
      <c r="CU241" s="112"/>
      <c r="CV241" s="112"/>
      <c r="CW241" s="112"/>
      <c r="CX241" s="96"/>
      <c r="CY241" s="112"/>
      <c r="CZ241" s="112"/>
      <c r="DA241" s="26"/>
      <c r="DB241" s="42"/>
      <c r="DC241" s="43"/>
      <c r="DD241" s="62"/>
      <c r="DE241" s="62"/>
      <c r="DF241" s="4"/>
      <c r="DG241" s="4"/>
      <c r="DH241" s="4"/>
      <c r="DI241" s="4"/>
      <c r="DJ241" s="62"/>
      <c r="DK241" s="62"/>
      <c r="DL241" s="209"/>
      <c r="DM241" s="62"/>
      <c r="DN241" s="13"/>
      <c r="DO241" s="7">
        <v>171</v>
      </c>
      <c r="DP241" s="103"/>
      <c r="DQ241" s="19"/>
      <c r="DR241" s="19"/>
      <c r="DS241" s="125"/>
      <c r="DT241" s="132"/>
      <c r="DU241" s="132"/>
      <c r="DV241" s="132"/>
      <c r="DW241" s="146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</row>
    <row r="242" spans="1:138" x14ac:dyDescent="0.2">
      <c r="A242" s="7"/>
      <c r="B242" s="148"/>
      <c r="C242" s="19"/>
      <c r="D242" s="19"/>
      <c r="E242" s="82"/>
      <c r="F242" s="82"/>
      <c r="G242" s="9"/>
      <c r="H242" s="93"/>
      <c r="I242" s="47"/>
      <c r="J242" s="94"/>
      <c r="K242" s="20"/>
      <c r="L242" s="20"/>
      <c r="M242" s="20"/>
      <c r="N242" s="20"/>
      <c r="O242" s="20"/>
      <c r="P242" s="20"/>
      <c r="Q242" s="20"/>
      <c r="R242" s="20"/>
      <c r="S242" s="20"/>
      <c r="T242" s="96"/>
      <c r="U242" s="20"/>
      <c r="V242" s="20"/>
      <c r="W242" s="20"/>
      <c r="X242" s="96"/>
      <c r="Y242" s="96"/>
      <c r="Z242" s="96"/>
      <c r="AA242" s="96"/>
      <c r="AB242" s="96"/>
      <c r="AC242" s="96"/>
      <c r="AD242" s="96"/>
      <c r="AE242" s="110"/>
      <c r="AF242" s="110"/>
      <c r="AG242" s="20"/>
      <c r="AH242" s="20"/>
      <c r="AI242" s="20"/>
      <c r="AJ242" s="20"/>
      <c r="AK242" s="20"/>
      <c r="AL242" s="20"/>
      <c r="AM242" s="20"/>
      <c r="AN242" s="254"/>
      <c r="AO242" s="251"/>
      <c r="AP242" s="112"/>
      <c r="AQ242" s="20"/>
      <c r="AR242" s="112"/>
      <c r="AS242" s="20"/>
      <c r="AT242" s="112"/>
      <c r="AU242" s="20"/>
      <c r="AV242" s="20"/>
      <c r="AW242" s="112"/>
      <c r="AX242" s="20"/>
      <c r="AY242" s="20"/>
      <c r="AZ242" s="96"/>
      <c r="BA242" s="11"/>
      <c r="BB242" s="11"/>
      <c r="BC242" s="96"/>
      <c r="BD242" s="20"/>
      <c r="BE242" s="96"/>
      <c r="BF242" s="20"/>
      <c r="BG242" s="20"/>
      <c r="BH242" s="20"/>
      <c r="BI242" s="20"/>
      <c r="BJ242" s="20"/>
      <c r="BK242" s="20"/>
      <c r="BL242" s="20"/>
      <c r="BM242" s="20"/>
      <c r="BN242" s="112"/>
      <c r="BO242" s="20"/>
      <c r="BP242" s="20"/>
      <c r="BQ242" s="20"/>
      <c r="BR242" s="20"/>
      <c r="BS242" s="20"/>
      <c r="BT242" s="20"/>
      <c r="BU242" s="112"/>
      <c r="BV242" s="112"/>
      <c r="BW242" s="112"/>
      <c r="BX242" s="20"/>
      <c r="BY242" s="20"/>
      <c r="BZ242" s="20"/>
      <c r="CA242" s="20"/>
      <c r="CB242" s="20"/>
      <c r="CC242" s="20"/>
      <c r="CD242" s="20"/>
      <c r="CE242" s="20"/>
      <c r="CF242" s="20"/>
      <c r="CG242" s="96"/>
      <c r="CH242" s="20"/>
      <c r="CI242" s="20"/>
      <c r="CJ242" s="20"/>
      <c r="CK242" s="20"/>
      <c r="CL242" s="20"/>
      <c r="CM242" s="20"/>
      <c r="CN242" s="11"/>
      <c r="CO242" s="20"/>
      <c r="CP242" s="20"/>
      <c r="CQ242" s="20"/>
      <c r="CR242" s="20"/>
      <c r="CS242" s="20"/>
      <c r="CT242" s="20"/>
      <c r="CU242" s="20"/>
      <c r="CV242" s="20"/>
      <c r="CW242" s="20"/>
      <c r="CX242" s="96"/>
      <c r="CY242" s="112"/>
      <c r="CZ242" s="20"/>
      <c r="DA242" s="26"/>
      <c r="DB242" s="42"/>
      <c r="DC242" s="43"/>
      <c r="DD242" s="62"/>
      <c r="DE242" s="62"/>
      <c r="DF242" s="4"/>
      <c r="DG242" s="4"/>
      <c r="DH242" s="4"/>
      <c r="DI242" s="4"/>
      <c r="DJ242" s="62"/>
      <c r="DK242" s="62"/>
      <c r="DL242" s="209"/>
      <c r="DM242" s="62"/>
      <c r="DN242" s="13"/>
      <c r="DO242" s="7">
        <v>172</v>
      </c>
      <c r="DP242" s="103"/>
      <c r="DQ242" s="19"/>
      <c r="DR242" s="19"/>
      <c r="DS242" s="125"/>
      <c r="DT242" s="132"/>
      <c r="DU242" s="132"/>
      <c r="DV242" s="132"/>
      <c r="DW242" s="146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</row>
    <row r="243" spans="1:138" x14ac:dyDescent="0.2">
      <c r="A243" s="7"/>
      <c r="B243" s="189"/>
      <c r="C243" s="19"/>
      <c r="D243" s="19"/>
      <c r="E243" s="82"/>
      <c r="F243" s="82"/>
      <c r="G243" s="9"/>
      <c r="H243" s="93"/>
      <c r="I243" s="47"/>
      <c r="J243" s="94"/>
      <c r="K243" s="20"/>
      <c r="L243" s="20"/>
      <c r="M243" s="20"/>
      <c r="N243" s="20"/>
      <c r="O243" s="20"/>
      <c r="P243" s="20"/>
      <c r="Q243" s="20"/>
      <c r="R243" s="20"/>
      <c r="S243" s="112"/>
      <c r="T243" s="11"/>
      <c r="U243" s="20"/>
      <c r="V243" s="20"/>
      <c r="W243" s="20"/>
      <c r="X243" s="96"/>
      <c r="Y243" s="11"/>
      <c r="Z243" s="11"/>
      <c r="AA243" s="96"/>
      <c r="AB243" s="11"/>
      <c r="AC243" s="11"/>
      <c r="AD243" s="96"/>
      <c r="AE243" s="79"/>
      <c r="AF243" s="79"/>
      <c r="AG243" s="20"/>
      <c r="AH243" s="20"/>
      <c r="AI243" s="20"/>
      <c r="AJ243" s="20"/>
      <c r="AK243" s="20"/>
      <c r="AL243" s="20"/>
      <c r="AM243" s="20"/>
      <c r="AN243" s="254"/>
      <c r="AO243" s="251"/>
      <c r="AP243" s="20"/>
      <c r="AQ243" s="20"/>
      <c r="AR243" s="20"/>
      <c r="AS243" s="20"/>
      <c r="AT243" s="20"/>
      <c r="AU243" s="20"/>
      <c r="AV243" s="20"/>
      <c r="AW243" s="20"/>
      <c r="AX243" s="20"/>
      <c r="AY243" s="112"/>
      <c r="AZ243" s="96"/>
      <c r="BA243" s="11"/>
      <c r="BB243" s="11"/>
      <c r="BC243" s="11"/>
      <c r="BD243" s="20"/>
      <c r="BE243" s="11"/>
      <c r="BF243" s="20"/>
      <c r="BG243" s="20"/>
      <c r="BH243" s="20"/>
      <c r="BI243" s="20"/>
      <c r="BJ243" s="20"/>
      <c r="BK243" s="20"/>
      <c r="BL243" s="20"/>
      <c r="BM243" s="112"/>
      <c r="BN243" s="20"/>
      <c r="BO243" s="20"/>
      <c r="BP243" s="20"/>
      <c r="BQ243" s="20"/>
      <c r="BR243" s="20"/>
      <c r="BS243" s="20"/>
      <c r="BT243" s="112"/>
      <c r="BU243" s="112"/>
      <c r="BV243" s="112"/>
      <c r="BW243" s="20"/>
      <c r="BX243" s="20"/>
      <c r="BY243" s="112"/>
      <c r="BZ243" s="112"/>
      <c r="CA243" s="20"/>
      <c r="CB243" s="20"/>
      <c r="CC243" s="20"/>
      <c r="CD243" s="20"/>
      <c r="CE243" s="20"/>
      <c r="CF243" s="20"/>
      <c r="CG243" s="96"/>
      <c r="CH243" s="20"/>
      <c r="CI243" s="20"/>
      <c r="CJ243" s="112"/>
      <c r="CK243" s="112"/>
      <c r="CL243" s="20"/>
      <c r="CM243" s="20"/>
      <c r="CN243" s="11"/>
      <c r="CO243" s="20"/>
      <c r="CP243" s="20"/>
      <c r="CQ243" s="20"/>
      <c r="CR243" s="20"/>
      <c r="CS243" s="20"/>
      <c r="CT243" s="20"/>
      <c r="CU243" s="20"/>
      <c r="CV243" s="20"/>
      <c r="CW243" s="20"/>
      <c r="CX243" s="11"/>
      <c r="CY243" s="20"/>
      <c r="CZ243" s="20"/>
      <c r="DA243" s="26"/>
      <c r="DB243" s="42"/>
      <c r="DC243" s="43"/>
      <c r="DD243" s="62"/>
      <c r="DE243" s="62"/>
      <c r="DF243" s="4"/>
      <c r="DG243" s="4"/>
      <c r="DH243" s="4"/>
      <c r="DI243" s="4"/>
      <c r="DJ243" s="62"/>
      <c r="DK243" s="62"/>
      <c r="DL243" s="209"/>
      <c r="DM243" s="62"/>
      <c r="DN243" s="13"/>
      <c r="DO243" s="7">
        <v>173</v>
      </c>
      <c r="DP243" s="103"/>
      <c r="DQ243" s="19"/>
      <c r="DR243" s="19"/>
      <c r="DS243" s="125"/>
      <c r="DT243" s="132"/>
      <c r="DU243" s="132"/>
      <c r="DV243" s="132"/>
      <c r="DW243" s="146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</row>
    <row r="244" spans="1:138" x14ac:dyDescent="0.2">
      <c r="A244" s="7"/>
      <c r="B244" s="148"/>
      <c r="C244" s="19"/>
      <c r="D244" s="19"/>
      <c r="E244" s="82"/>
      <c r="F244" s="82"/>
      <c r="G244" s="9"/>
      <c r="H244" s="93"/>
      <c r="I244" s="47"/>
      <c r="J244" s="94"/>
      <c r="K244" s="20"/>
      <c r="L244" s="20"/>
      <c r="M244" s="20"/>
      <c r="N244" s="20"/>
      <c r="O244" s="20"/>
      <c r="P244" s="20"/>
      <c r="Q244" s="20"/>
      <c r="R244" s="20"/>
      <c r="S244" s="20"/>
      <c r="T244" s="96"/>
      <c r="U244" s="20"/>
      <c r="V244" s="20"/>
      <c r="W244" s="20"/>
      <c r="X244" s="96"/>
      <c r="Y244" s="96"/>
      <c r="Z244" s="96"/>
      <c r="AA244" s="96"/>
      <c r="AB244" s="96"/>
      <c r="AC244" s="96"/>
      <c r="AD244" s="96"/>
      <c r="AE244" s="110"/>
      <c r="AF244" s="110"/>
      <c r="AG244" s="20"/>
      <c r="AH244" s="20"/>
      <c r="AI244" s="20"/>
      <c r="AJ244" s="20"/>
      <c r="AK244" s="20"/>
      <c r="AL244" s="20"/>
      <c r="AM244" s="20"/>
      <c r="AN244" s="254"/>
      <c r="AO244" s="251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96"/>
      <c r="BA244" s="11"/>
      <c r="BB244" s="11"/>
      <c r="BC244" s="96"/>
      <c r="BD244" s="20"/>
      <c r="BE244" s="96"/>
      <c r="BF244" s="20"/>
      <c r="BG244" s="20"/>
      <c r="BH244" s="20"/>
      <c r="BI244" s="20"/>
      <c r="BJ244" s="20"/>
      <c r="BK244" s="20"/>
      <c r="BL244" s="20"/>
      <c r="BM244" s="20"/>
      <c r="BN244" s="112"/>
      <c r="BO244" s="20"/>
      <c r="BP244" s="20"/>
      <c r="BQ244" s="20"/>
      <c r="BR244" s="20"/>
      <c r="BS244" s="20"/>
      <c r="BT244" s="20"/>
      <c r="BU244" s="112"/>
      <c r="BV244" s="112"/>
      <c r="BW244" s="112"/>
      <c r="BX244" s="20"/>
      <c r="BY244" s="20"/>
      <c r="BZ244" s="20"/>
      <c r="CA244" s="20"/>
      <c r="CB244" s="20"/>
      <c r="CC244" s="20"/>
      <c r="CD244" s="20"/>
      <c r="CE244" s="20"/>
      <c r="CF244" s="20"/>
      <c r="CG244" s="96"/>
      <c r="CH244" s="20"/>
      <c r="CI244" s="20"/>
      <c r="CJ244" s="20"/>
      <c r="CK244" s="20"/>
      <c r="CL244" s="20"/>
      <c r="CM244" s="20"/>
      <c r="CN244" s="11"/>
      <c r="CO244" s="20"/>
      <c r="CP244" s="20"/>
      <c r="CQ244" s="20"/>
      <c r="CR244" s="20"/>
      <c r="CS244" s="20"/>
      <c r="CT244" s="20"/>
      <c r="CU244" s="20"/>
      <c r="CV244" s="20"/>
      <c r="CW244" s="20"/>
      <c r="CX244" s="96"/>
      <c r="CY244" s="112"/>
      <c r="CZ244" s="20"/>
      <c r="DA244" s="26"/>
      <c r="DB244" s="42"/>
      <c r="DC244" s="43"/>
      <c r="DD244" s="62"/>
      <c r="DE244" s="62"/>
      <c r="DF244" s="4"/>
      <c r="DG244" s="4"/>
      <c r="DH244" s="4"/>
      <c r="DI244" s="4"/>
      <c r="DJ244" s="62"/>
      <c r="DK244" s="62"/>
      <c r="DL244" s="209"/>
      <c r="DM244" s="62"/>
      <c r="DN244" s="13"/>
      <c r="DO244" s="7">
        <v>174</v>
      </c>
      <c r="DP244" s="103"/>
      <c r="DQ244" s="19"/>
      <c r="DR244" s="19"/>
      <c r="DS244" s="125"/>
      <c r="DT244" s="132"/>
      <c r="DU244" s="132"/>
      <c r="DV244" s="132"/>
      <c r="DW244" s="146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</row>
    <row r="245" spans="1:138" x14ac:dyDescent="0.2">
      <c r="A245" s="7"/>
      <c r="B245" s="148"/>
      <c r="C245" s="19"/>
      <c r="D245" s="19"/>
      <c r="E245" s="82"/>
      <c r="F245" s="82"/>
      <c r="G245" s="9"/>
      <c r="H245" s="93"/>
      <c r="I245" s="47"/>
      <c r="J245" s="94"/>
      <c r="K245" s="20"/>
      <c r="L245" s="20"/>
      <c r="M245" s="20"/>
      <c r="N245" s="20"/>
      <c r="O245" s="20"/>
      <c r="P245" s="20"/>
      <c r="Q245" s="20"/>
      <c r="R245" s="20"/>
      <c r="S245" s="20"/>
      <c r="T245" s="96"/>
      <c r="U245" s="20"/>
      <c r="V245" s="20"/>
      <c r="W245" s="20"/>
      <c r="X245" s="96"/>
      <c r="Y245" s="96"/>
      <c r="Z245" s="96"/>
      <c r="AA245" s="96"/>
      <c r="AB245" s="96"/>
      <c r="AC245" s="96"/>
      <c r="AD245" s="96"/>
      <c r="AE245" s="110"/>
      <c r="AF245" s="110"/>
      <c r="AG245" s="20"/>
      <c r="AH245" s="20"/>
      <c r="AI245" s="20"/>
      <c r="AJ245" s="20"/>
      <c r="AK245" s="20"/>
      <c r="AL245" s="20"/>
      <c r="AM245" s="20"/>
      <c r="AN245" s="254"/>
      <c r="AO245" s="251"/>
      <c r="AP245" s="112"/>
      <c r="AQ245" s="112"/>
      <c r="AR245" s="112"/>
      <c r="AS245" s="20"/>
      <c r="AT245" s="112"/>
      <c r="AU245" s="20"/>
      <c r="AV245" s="20"/>
      <c r="AW245" s="20"/>
      <c r="AX245" s="112"/>
      <c r="AY245" s="112"/>
      <c r="AZ245" s="96"/>
      <c r="BA245" s="11"/>
      <c r="BB245" s="11"/>
      <c r="BC245" s="96"/>
      <c r="BD245" s="20"/>
      <c r="BE245" s="96"/>
      <c r="BF245" s="20"/>
      <c r="BG245" s="20"/>
      <c r="BH245" s="20"/>
      <c r="BI245" s="20"/>
      <c r="BJ245" s="20"/>
      <c r="BK245" s="20"/>
      <c r="BL245" s="20"/>
      <c r="BM245" s="20"/>
      <c r="BN245" s="112"/>
      <c r="BO245" s="20"/>
      <c r="BP245" s="20"/>
      <c r="BQ245" s="20"/>
      <c r="BR245" s="20"/>
      <c r="BS245" s="20"/>
      <c r="BT245" s="20"/>
      <c r="BU245" s="112"/>
      <c r="BV245" s="112"/>
      <c r="BW245" s="112"/>
      <c r="BX245" s="20"/>
      <c r="BY245" s="20"/>
      <c r="BZ245" s="20"/>
      <c r="CA245" s="20"/>
      <c r="CB245" s="20"/>
      <c r="CC245" s="20"/>
      <c r="CD245" s="20"/>
      <c r="CE245" s="20"/>
      <c r="CF245" s="20"/>
      <c r="CG245" s="96"/>
      <c r="CH245" s="20"/>
      <c r="CI245" s="20"/>
      <c r="CJ245" s="20"/>
      <c r="CK245" s="20"/>
      <c r="CL245" s="20"/>
      <c r="CM245" s="20"/>
      <c r="CN245" s="11"/>
      <c r="CO245" s="20"/>
      <c r="CP245" s="20"/>
      <c r="CQ245" s="20"/>
      <c r="CR245" s="20"/>
      <c r="CS245" s="20"/>
      <c r="CT245" s="20"/>
      <c r="CU245" s="20"/>
      <c r="CV245" s="20"/>
      <c r="CW245" s="20"/>
      <c r="CX245" s="96"/>
      <c r="CY245" s="112"/>
      <c r="CZ245" s="20"/>
      <c r="DA245" s="26"/>
      <c r="DB245" s="53"/>
      <c r="DC245" s="68"/>
      <c r="DD245" s="62"/>
      <c r="DE245" s="209"/>
      <c r="DF245" s="115"/>
      <c r="DG245" s="4"/>
      <c r="DH245" s="115"/>
      <c r="DI245" s="115"/>
      <c r="DJ245" s="62"/>
      <c r="DK245" s="62"/>
      <c r="DL245" s="209"/>
      <c r="DM245" s="62"/>
      <c r="DN245" s="13"/>
      <c r="DO245" s="7">
        <v>175</v>
      </c>
      <c r="DP245" s="103"/>
      <c r="DQ245" s="19"/>
      <c r="DR245" s="19"/>
      <c r="DS245" s="125"/>
      <c r="DT245" s="132"/>
      <c r="DU245" s="132"/>
      <c r="DV245" s="132"/>
      <c r="DW245" s="146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</row>
    <row r="246" spans="1:138" x14ac:dyDescent="0.2">
      <c r="A246" s="7"/>
      <c r="B246" s="200"/>
      <c r="C246" s="19"/>
      <c r="D246" s="19"/>
      <c r="E246" s="82"/>
      <c r="F246" s="82"/>
      <c r="G246" s="9"/>
      <c r="H246" s="93"/>
      <c r="I246" s="47"/>
      <c r="J246" s="94"/>
      <c r="K246" s="112"/>
      <c r="L246" s="112"/>
      <c r="M246" s="112"/>
      <c r="N246" s="112"/>
      <c r="O246" s="112"/>
      <c r="P246" s="112"/>
      <c r="Q246" s="112"/>
      <c r="R246" s="112"/>
      <c r="S246" s="112"/>
      <c r="T246" s="96"/>
      <c r="U246" s="112"/>
      <c r="V246" s="112"/>
      <c r="W246" s="112"/>
      <c r="X246" s="96"/>
      <c r="Y246" s="96"/>
      <c r="Z246" s="96"/>
      <c r="AA246" s="96"/>
      <c r="AB246" s="96"/>
      <c r="AC246" s="96"/>
      <c r="AD246" s="96"/>
      <c r="AE246" s="110"/>
      <c r="AF246" s="110"/>
      <c r="AG246" s="112"/>
      <c r="AH246" s="20"/>
      <c r="AI246" s="112"/>
      <c r="AJ246" s="112"/>
      <c r="AK246" s="112"/>
      <c r="AL246" s="112"/>
      <c r="AM246" s="112"/>
      <c r="AN246" s="255"/>
      <c r="AO246" s="251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96"/>
      <c r="BA246" s="11"/>
      <c r="BB246" s="11"/>
      <c r="BC246" s="96"/>
      <c r="BD246" s="112"/>
      <c r="BE246" s="96"/>
      <c r="BF246" s="112"/>
      <c r="BG246" s="112"/>
      <c r="BH246" s="112"/>
      <c r="BI246" s="112"/>
      <c r="BJ246" s="112"/>
      <c r="BK246" s="112"/>
      <c r="BL246" s="112"/>
      <c r="BM246" s="112"/>
      <c r="BN246" s="112"/>
      <c r="BO246" s="112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12"/>
      <c r="CA246" s="112"/>
      <c r="CB246" s="20"/>
      <c r="CC246" s="112"/>
      <c r="CD246" s="112"/>
      <c r="CE246" s="20"/>
      <c r="CF246" s="20"/>
      <c r="CG246" s="11"/>
      <c r="CH246" s="112"/>
      <c r="CI246" s="112"/>
      <c r="CJ246" s="112"/>
      <c r="CK246" s="112"/>
      <c r="CL246" s="112"/>
      <c r="CM246" s="112"/>
      <c r="CN246" s="96"/>
      <c r="CO246" s="112"/>
      <c r="CP246" s="112"/>
      <c r="CQ246" s="112"/>
      <c r="CR246" s="112"/>
      <c r="CS246" s="112"/>
      <c r="CT246" s="112"/>
      <c r="CU246" s="112"/>
      <c r="CV246" s="112"/>
      <c r="CW246" s="112"/>
      <c r="CX246" s="96"/>
      <c r="CY246" s="112"/>
      <c r="CZ246" s="112"/>
      <c r="DA246" s="26"/>
      <c r="DB246" s="42"/>
      <c r="DC246" s="43"/>
      <c r="DD246" s="62"/>
      <c r="DE246" s="62"/>
      <c r="DF246" s="4"/>
      <c r="DG246" s="4"/>
      <c r="DH246" s="4"/>
      <c r="DI246" s="4"/>
      <c r="DJ246" s="62"/>
      <c r="DK246" s="62"/>
      <c r="DL246" s="209"/>
      <c r="DM246" s="62"/>
      <c r="DN246" s="13"/>
      <c r="DO246" s="7">
        <v>176</v>
      </c>
      <c r="DP246" s="103"/>
      <c r="DQ246" s="19"/>
      <c r="DR246" s="19"/>
      <c r="DS246" s="125"/>
      <c r="DT246" s="132"/>
      <c r="DU246" s="132"/>
      <c r="DV246" s="132"/>
      <c r="DW246" s="146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</row>
    <row r="247" spans="1:138" x14ac:dyDescent="0.2">
      <c r="A247" s="7"/>
      <c r="B247" s="148"/>
      <c r="C247" s="19"/>
      <c r="D247" s="19"/>
      <c r="E247" s="82"/>
      <c r="F247" s="82"/>
      <c r="G247" s="9"/>
      <c r="H247" s="93"/>
      <c r="I247" s="47"/>
      <c r="J247" s="94"/>
      <c r="K247" s="20"/>
      <c r="L247" s="20"/>
      <c r="M247" s="20"/>
      <c r="N247" s="20"/>
      <c r="O247" s="20"/>
      <c r="P247" s="20"/>
      <c r="Q247" s="20"/>
      <c r="R247" s="20"/>
      <c r="S247" s="20"/>
      <c r="T247" s="96"/>
      <c r="U247" s="20"/>
      <c r="V247" s="20"/>
      <c r="W247" s="20"/>
      <c r="X247" s="96"/>
      <c r="Y247" s="96"/>
      <c r="Z247" s="96"/>
      <c r="AA247" s="96"/>
      <c r="AB247" s="96"/>
      <c r="AC247" s="96"/>
      <c r="AD247" s="96"/>
      <c r="AE247" s="110"/>
      <c r="AF247" s="110"/>
      <c r="AG247" s="20"/>
      <c r="AH247" s="20"/>
      <c r="AI247" s="20"/>
      <c r="AJ247" s="20"/>
      <c r="AK247" s="20"/>
      <c r="AL247" s="20"/>
      <c r="AM247" s="20"/>
      <c r="AN247" s="254"/>
      <c r="AO247" s="251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96"/>
      <c r="BA247" s="11"/>
      <c r="BB247" s="11"/>
      <c r="BC247" s="96"/>
      <c r="BD247" s="20"/>
      <c r="BE247" s="96"/>
      <c r="BF247" s="20"/>
      <c r="BG247" s="20"/>
      <c r="BH247" s="20"/>
      <c r="BI247" s="20"/>
      <c r="BJ247" s="20"/>
      <c r="BK247" s="20"/>
      <c r="BL247" s="20"/>
      <c r="BM247" s="20"/>
      <c r="BN247" s="112"/>
      <c r="BO247" s="20"/>
      <c r="BP247" s="20"/>
      <c r="BQ247" s="20"/>
      <c r="BR247" s="20"/>
      <c r="BS247" s="20"/>
      <c r="BT247" s="20"/>
      <c r="BU247" s="112"/>
      <c r="BV247" s="112"/>
      <c r="BW247" s="112"/>
      <c r="BX247" s="20"/>
      <c r="BY247" s="20"/>
      <c r="BZ247" s="20"/>
      <c r="CA247" s="20"/>
      <c r="CB247" s="20"/>
      <c r="CC247" s="20"/>
      <c r="CD247" s="20"/>
      <c r="CE247" s="20"/>
      <c r="CF247" s="20"/>
      <c r="CG247" s="96"/>
      <c r="CH247" s="20"/>
      <c r="CI247" s="20"/>
      <c r="CJ247" s="20"/>
      <c r="CK247" s="20"/>
      <c r="CL247" s="20"/>
      <c r="CM247" s="20"/>
      <c r="CN247" s="11"/>
      <c r="CO247" s="20"/>
      <c r="CP247" s="20"/>
      <c r="CQ247" s="20"/>
      <c r="CR247" s="20"/>
      <c r="CS247" s="20"/>
      <c r="CT247" s="20"/>
      <c r="CU247" s="20"/>
      <c r="CV247" s="20"/>
      <c r="CW247" s="20"/>
      <c r="CX247" s="96"/>
      <c r="CY247" s="112"/>
      <c r="CZ247" s="20"/>
      <c r="DA247" s="26"/>
      <c r="DB247" s="42"/>
      <c r="DC247" s="43"/>
      <c r="DD247" s="62"/>
      <c r="DE247" s="62"/>
      <c r="DF247" s="4"/>
      <c r="DG247" s="4"/>
      <c r="DH247" s="4"/>
      <c r="DI247" s="4"/>
      <c r="DJ247" s="62"/>
      <c r="DK247" s="62"/>
      <c r="DL247" s="209"/>
      <c r="DM247" s="62"/>
      <c r="DN247" s="13"/>
      <c r="DO247" s="7">
        <v>177</v>
      </c>
      <c r="DP247" s="103"/>
      <c r="DQ247" s="19"/>
      <c r="DR247" s="19"/>
      <c r="DS247" s="125"/>
      <c r="DT247" s="132"/>
      <c r="DU247" s="132"/>
      <c r="DV247" s="132"/>
      <c r="DW247" s="146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</row>
    <row r="248" spans="1:138" x14ac:dyDescent="0.2">
      <c r="A248" s="7"/>
      <c r="B248" s="189"/>
      <c r="C248" s="19"/>
      <c r="D248" s="19"/>
      <c r="E248" s="82"/>
      <c r="F248" s="82"/>
      <c r="G248" s="9"/>
      <c r="H248" s="93"/>
      <c r="I248" s="47"/>
      <c r="J248" s="94"/>
      <c r="K248" s="112"/>
      <c r="L248" s="112"/>
      <c r="M248" s="112"/>
      <c r="N248" s="112"/>
      <c r="O248" s="112"/>
      <c r="P248" s="112"/>
      <c r="Q248" s="112"/>
      <c r="R248" s="112"/>
      <c r="S248" s="112"/>
      <c r="T248" s="96"/>
      <c r="U248" s="112"/>
      <c r="V248" s="112"/>
      <c r="W248" s="112"/>
      <c r="X248" s="96"/>
      <c r="Y248" s="96"/>
      <c r="Z248" s="96"/>
      <c r="AA248" s="96"/>
      <c r="AB248" s="96"/>
      <c r="AC248" s="96"/>
      <c r="AD248" s="96"/>
      <c r="AE248" s="110"/>
      <c r="AF248" s="110"/>
      <c r="AG248" s="112"/>
      <c r="AH248" s="112"/>
      <c r="AI248" s="112"/>
      <c r="AJ248" s="112"/>
      <c r="AK248" s="112"/>
      <c r="AL248" s="112"/>
      <c r="AM248" s="112"/>
      <c r="AN248" s="255"/>
      <c r="AO248" s="251"/>
      <c r="AP248" s="112"/>
      <c r="AQ248" s="112"/>
      <c r="AR248" s="112"/>
      <c r="AS248" s="112"/>
      <c r="AT248" s="112"/>
      <c r="AU248" s="112"/>
      <c r="AV248" s="112"/>
      <c r="AW248" s="112"/>
      <c r="AX248" s="112"/>
      <c r="AY248" s="112"/>
      <c r="AZ248" s="96"/>
      <c r="BA248" s="11"/>
      <c r="BB248" s="11"/>
      <c r="BC248" s="96"/>
      <c r="BD248" s="112"/>
      <c r="BE248" s="96"/>
      <c r="BF248" s="112"/>
      <c r="BG248" s="112"/>
      <c r="BH248" s="112"/>
      <c r="BI248" s="112"/>
      <c r="BJ248" s="112"/>
      <c r="BK248" s="112"/>
      <c r="BL248" s="112"/>
      <c r="BM248" s="112"/>
      <c r="BN248" s="112"/>
      <c r="BO248" s="112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12"/>
      <c r="CA248" s="112"/>
      <c r="CB248" s="112"/>
      <c r="CC248" s="112"/>
      <c r="CD248" s="112"/>
      <c r="CE248" s="112"/>
      <c r="CF248" s="112"/>
      <c r="CG248" s="96"/>
      <c r="CH248" s="112"/>
      <c r="CI248" s="112"/>
      <c r="CJ248" s="112"/>
      <c r="CK248" s="112"/>
      <c r="CL248" s="112"/>
      <c r="CM248" s="112"/>
      <c r="CN248" s="96"/>
      <c r="CO248" s="112"/>
      <c r="CP248" s="112"/>
      <c r="CQ248" s="112"/>
      <c r="CR248" s="112"/>
      <c r="CS248" s="112"/>
      <c r="CT248" s="112"/>
      <c r="CU248" s="112"/>
      <c r="CV248" s="112"/>
      <c r="CW248" s="112"/>
      <c r="CX248" s="96"/>
      <c r="CY248" s="112"/>
      <c r="CZ248" s="112"/>
      <c r="DA248" s="26"/>
      <c r="DB248" s="42"/>
      <c r="DC248" s="43"/>
      <c r="DD248" s="62"/>
      <c r="DE248" s="62"/>
      <c r="DF248" s="4"/>
      <c r="DG248" s="4"/>
      <c r="DH248" s="4"/>
      <c r="DI248" s="4"/>
      <c r="DJ248" s="62"/>
      <c r="DK248" s="62"/>
      <c r="DL248" s="209"/>
      <c r="DM248" s="62"/>
      <c r="DN248" s="13"/>
      <c r="DO248" s="7">
        <v>178</v>
      </c>
      <c r="DP248" s="103"/>
      <c r="DQ248" s="19"/>
      <c r="DR248" s="19"/>
      <c r="DS248" s="125"/>
      <c r="DT248" s="132"/>
      <c r="DU248" s="132"/>
      <c r="DV248" s="132"/>
      <c r="DW248" s="146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</row>
    <row r="249" spans="1:138" x14ac:dyDescent="0.2">
      <c r="A249" s="7"/>
      <c r="B249" s="200"/>
      <c r="C249" s="19"/>
      <c r="D249" s="19"/>
      <c r="E249" s="82"/>
      <c r="F249" s="82"/>
      <c r="G249" s="9"/>
      <c r="H249" s="93"/>
      <c r="I249" s="47"/>
      <c r="J249" s="94"/>
      <c r="K249" s="20"/>
      <c r="L249" s="112"/>
      <c r="M249" s="20"/>
      <c r="N249" s="20"/>
      <c r="O249" s="112"/>
      <c r="P249" s="112"/>
      <c r="Q249" s="20"/>
      <c r="R249" s="112"/>
      <c r="S249" s="20"/>
      <c r="T249" s="11"/>
      <c r="U249" s="20"/>
      <c r="V249" s="112"/>
      <c r="W249" s="20"/>
      <c r="X249" s="96"/>
      <c r="Y249" s="96"/>
      <c r="Z249" s="96"/>
      <c r="AA249" s="96"/>
      <c r="AB249" s="96"/>
      <c r="AC249" s="96"/>
      <c r="AD249" s="96"/>
      <c r="AE249" s="110"/>
      <c r="AF249" s="110"/>
      <c r="AG249" s="112"/>
      <c r="AH249" s="112"/>
      <c r="AI249" s="112"/>
      <c r="AJ249" s="112"/>
      <c r="AK249" s="112"/>
      <c r="AL249" s="112"/>
      <c r="AM249" s="112"/>
      <c r="AN249" s="255"/>
      <c r="AO249" s="251"/>
      <c r="AP249" s="112"/>
      <c r="AQ249" s="112"/>
      <c r="AR249" s="112"/>
      <c r="AS249" s="112"/>
      <c r="AT249" s="112"/>
      <c r="AU249" s="112"/>
      <c r="AV249" s="96"/>
      <c r="AW249" s="112"/>
      <c r="AX249" s="20"/>
      <c r="AY249" s="112"/>
      <c r="AZ249" s="11"/>
      <c r="BA249" s="11"/>
      <c r="BB249" s="11"/>
      <c r="BC249" s="96"/>
      <c r="BD249" s="112"/>
      <c r="BE249" s="96"/>
      <c r="BF249" s="112"/>
      <c r="BG249" s="112"/>
      <c r="BH249" s="20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112"/>
      <c r="BU249" s="112"/>
      <c r="BV249" s="112"/>
      <c r="BW249" s="112"/>
      <c r="BX249" s="112"/>
      <c r="BY249" s="112"/>
      <c r="BZ249" s="112"/>
      <c r="CA249" s="20"/>
      <c r="CB249" s="20"/>
      <c r="CC249" s="20"/>
      <c r="CD249" s="112"/>
      <c r="CE249" s="20"/>
      <c r="CF249" s="112"/>
      <c r="CG249" s="11"/>
      <c r="CH249" s="112"/>
      <c r="CI249" s="112"/>
      <c r="CJ249" s="112"/>
      <c r="CK249" s="112"/>
      <c r="CL249" s="112"/>
      <c r="CM249" s="112"/>
      <c r="CN249" s="96"/>
      <c r="CO249" s="112"/>
      <c r="CP249" s="112"/>
      <c r="CQ249" s="112"/>
      <c r="CR249" s="112"/>
      <c r="CS249" s="112"/>
      <c r="CT249" s="112"/>
      <c r="CU249" s="112"/>
      <c r="CV249" s="112"/>
      <c r="CW249" s="112"/>
      <c r="CX249" s="96"/>
      <c r="CY249" s="112"/>
      <c r="CZ249" s="112"/>
      <c r="DA249" s="26"/>
      <c r="DB249" s="42"/>
      <c r="DC249" s="43"/>
      <c r="DD249" s="62"/>
      <c r="DE249" s="62"/>
      <c r="DF249" s="4"/>
      <c r="DG249" s="4"/>
      <c r="DH249" s="4"/>
      <c r="DI249" s="4"/>
      <c r="DJ249" s="62"/>
      <c r="DK249" s="62"/>
      <c r="DL249" s="209"/>
      <c r="DM249" s="62"/>
      <c r="DN249" s="13"/>
      <c r="DO249" s="7">
        <v>179</v>
      </c>
      <c r="DP249" s="17"/>
      <c r="DQ249" s="12"/>
      <c r="DR249" s="12"/>
      <c r="DS249" s="134"/>
      <c r="DT249" s="135"/>
      <c r="DU249" s="135"/>
      <c r="DV249" s="135"/>
      <c r="DW249" s="146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</row>
    <row r="250" spans="1:138" x14ac:dyDescent="0.2">
      <c r="A250" s="7"/>
      <c r="B250" s="148"/>
      <c r="C250" s="19"/>
      <c r="D250" s="19"/>
      <c r="E250" s="82"/>
      <c r="F250" s="82"/>
      <c r="G250" s="9"/>
      <c r="H250" s="93"/>
      <c r="I250" s="47"/>
      <c r="J250" s="94"/>
      <c r="K250" s="20"/>
      <c r="L250" s="20"/>
      <c r="M250" s="20"/>
      <c r="N250" s="20"/>
      <c r="O250" s="20"/>
      <c r="P250" s="20"/>
      <c r="Q250" s="20"/>
      <c r="R250" s="20"/>
      <c r="S250" s="20"/>
      <c r="T250" s="96"/>
      <c r="U250" s="20"/>
      <c r="V250" s="20"/>
      <c r="W250" s="20"/>
      <c r="X250" s="96"/>
      <c r="Y250" s="96"/>
      <c r="Z250" s="96"/>
      <c r="AA250" s="96"/>
      <c r="AB250" s="96"/>
      <c r="AC250" s="96"/>
      <c r="AD250" s="96"/>
      <c r="AE250" s="110"/>
      <c r="AF250" s="110"/>
      <c r="AG250" s="20"/>
      <c r="AH250" s="20"/>
      <c r="AI250" s="20"/>
      <c r="AJ250" s="20"/>
      <c r="AK250" s="20"/>
      <c r="AL250" s="20"/>
      <c r="AM250" s="20"/>
      <c r="AN250" s="254"/>
      <c r="AO250" s="251"/>
      <c r="AP250" s="20"/>
      <c r="AQ250" s="20"/>
      <c r="AR250" s="20"/>
      <c r="AS250" s="20"/>
      <c r="AT250" s="20"/>
      <c r="AU250" s="20"/>
      <c r="AV250" s="11"/>
      <c r="AW250" s="20"/>
      <c r="AX250" s="20"/>
      <c r="AY250" s="20"/>
      <c r="AZ250" s="96"/>
      <c r="BA250" s="11"/>
      <c r="BB250" s="96"/>
      <c r="BC250" s="96"/>
      <c r="BD250" s="20"/>
      <c r="BE250" s="96"/>
      <c r="BF250" s="20"/>
      <c r="BG250" s="20"/>
      <c r="BH250" s="20"/>
      <c r="BI250" s="20"/>
      <c r="BJ250" s="20"/>
      <c r="BK250" s="20"/>
      <c r="BL250" s="20"/>
      <c r="BM250" s="20"/>
      <c r="BN250" s="112"/>
      <c r="BO250" s="20"/>
      <c r="BP250" s="20"/>
      <c r="BQ250" s="20"/>
      <c r="BR250" s="20"/>
      <c r="BS250" s="20"/>
      <c r="BT250" s="20"/>
      <c r="BU250" s="112"/>
      <c r="BV250" s="112"/>
      <c r="BW250" s="112"/>
      <c r="BX250" s="20"/>
      <c r="BY250" s="20"/>
      <c r="BZ250" s="20"/>
      <c r="CA250" s="20"/>
      <c r="CB250" s="20"/>
      <c r="CC250" s="20"/>
      <c r="CD250" s="20"/>
      <c r="CE250" s="20"/>
      <c r="CF250" s="20"/>
      <c r="CG250" s="96"/>
      <c r="CH250" s="20"/>
      <c r="CI250" s="20"/>
      <c r="CJ250" s="20"/>
      <c r="CK250" s="20"/>
      <c r="CL250" s="20"/>
      <c r="CM250" s="20"/>
      <c r="CN250" s="11"/>
      <c r="CO250" s="20"/>
      <c r="CP250" s="20"/>
      <c r="CQ250" s="20"/>
      <c r="CR250" s="20"/>
      <c r="CS250" s="20"/>
      <c r="CT250" s="20"/>
      <c r="CU250" s="20"/>
      <c r="CV250" s="20"/>
      <c r="CW250" s="20"/>
      <c r="CX250" s="96"/>
      <c r="CY250" s="112"/>
      <c r="CZ250" s="20"/>
      <c r="DA250" s="26"/>
      <c r="DB250" s="42"/>
      <c r="DC250" s="43"/>
      <c r="DD250" s="62"/>
      <c r="DE250" s="62"/>
      <c r="DF250" s="4"/>
      <c r="DG250" s="4"/>
      <c r="DH250" s="4"/>
      <c r="DI250" s="4"/>
      <c r="DJ250" s="62"/>
      <c r="DK250" s="62"/>
      <c r="DL250" s="209"/>
      <c r="DM250" s="62"/>
      <c r="DN250" s="13"/>
      <c r="DO250" s="13"/>
      <c r="DP250" s="68"/>
      <c r="DQ250" s="35"/>
      <c r="DR250" s="68"/>
      <c r="DS250" s="68"/>
      <c r="DT250" s="145"/>
      <c r="DU250" s="146"/>
      <c r="DV250" s="146"/>
      <c r="DW250" s="146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</row>
    <row r="251" spans="1:138" x14ac:dyDescent="0.2">
      <c r="A251" s="7"/>
      <c r="B251" s="200"/>
      <c r="C251" s="19"/>
      <c r="D251" s="19"/>
      <c r="E251" s="82"/>
      <c r="F251" s="82"/>
      <c r="G251" s="9"/>
      <c r="H251" s="93"/>
      <c r="I251" s="47"/>
      <c r="J251" s="113"/>
      <c r="K251" s="112"/>
      <c r="L251" s="112"/>
      <c r="M251" s="191"/>
      <c r="N251" s="112"/>
      <c r="O251" s="112"/>
      <c r="P251" s="112"/>
      <c r="Q251" s="112"/>
      <c r="R251" s="112"/>
      <c r="S251" s="112"/>
      <c r="T251" s="109"/>
      <c r="U251" s="112"/>
      <c r="V251" s="112"/>
      <c r="W251" s="112"/>
      <c r="X251" s="96"/>
      <c r="Y251" s="96"/>
      <c r="Z251" s="96"/>
      <c r="AA251" s="96"/>
      <c r="AB251" s="96"/>
      <c r="AC251" s="96"/>
      <c r="AD251" s="96"/>
      <c r="AE251" s="110"/>
      <c r="AF251" s="110"/>
      <c r="AG251" s="112"/>
      <c r="AH251" s="112"/>
      <c r="AI251" s="112"/>
      <c r="AJ251" s="112"/>
      <c r="AK251" s="112"/>
      <c r="AL251" s="112"/>
      <c r="AM251" s="112"/>
      <c r="AN251" s="255"/>
      <c r="AO251" s="251"/>
      <c r="AP251" s="112"/>
      <c r="AQ251" s="112"/>
      <c r="AR251" s="112"/>
      <c r="AS251" s="112"/>
      <c r="AT251" s="112"/>
      <c r="AU251" s="112"/>
      <c r="AV251" s="112"/>
      <c r="AW251" s="112"/>
      <c r="AX251" s="96"/>
      <c r="AY251" s="112"/>
      <c r="AZ251" s="96"/>
      <c r="BA251" s="11"/>
      <c r="BB251" s="11"/>
      <c r="BC251" s="96"/>
      <c r="BD251" s="112"/>
      <c r="BE251" s="96"/>
      <c r="BF251" s="112"/>
      <c r="BG251" s="112"/>
      <c r="BH251" s="112"/>
      <c r="BI251" s="112"/>
      <c r="BJ251" s="112"/>
      <c r="BK251" s="112"/>
      <c r="BL251" s="112"/>
      <c r="BM251" s="112"/>
      <c r="BN251" s="112"/>
      <c r="BO251" s="112"/>
      <c r="BP251" s="112"/>
      <c r="BQ251" s="112"/>
      <c r="BR251" s="112"/>
      <c r="BS251" s="112"/>
      <c r="BT251" s="112"/>
      <c r="BU251" s="112"/>
      <c r="BV251" s="112"/>
      <c r="BW251" s="112"/>
      <c r="BX251" s="112"/>
      <c r="BY251" s="112"/>
      <c r="BZ251" s="112"/>
      <c r="CA251" s="112"/>
      <c r="CB251" s="112"/>
      <c r="CC251" s="112"/>
      <c r="CD251" s="112"/>
      <c r="CE251" s="112"/>
      <c r="CF251" s="112"/>
      <c r="CG251" s="96"/>
      <c r="CH251" s="112"/>
      <c r="CI251" s="112"/>
      <c r="CJ251" s="112"/>
      <c r="CK251" s="112"/>
      <c r="CL251" s="112"/>
      <c r="CM251" s="112"/>
      <c r="CN251" s="109"/>
      <c r="CO251" s="112"/>
      <c r="CP251" s="112"/>
      <c r="CQ251" s="112"/>
      <c r="CR251" s="191"/>
      <c r="CS251" s="191"/>
      <c r="CT251" s="191"/>
      <c r="CU251" s="191"/>
      <c r="CV251" s="191"/>
      <c r="CW251" s="191"/>
      <c r="CX251" s="109"/>
      <c r="CY251" s="112"/>
      <c r="CZ251" s="112"/>
      <c r="DA251" s="26"/>
      <c r="DB251" s="42"/>
      <c r="DC251" s="43"/>
      <c r="DD251" s="62"/>
      <c r="DE251" s="62"/>
      <c r="DF251" s="4"/>
      <c r="DG251" s="4"/>
      <c r="DH251" s="4"/>
      <c r="DI251" s="4"/>
      <c r="DJ251" s="62"/>
      <c r="DK251" s="62"/>
      <c r="DL251" s="209"/>
      <c r="DM251" s="62"/>
      <c r="DN251" s="13"/>
      <c r="DO251" s="13"/>
      <c r="DP251" s="68"/>
      <c r="DQ251" s="35"/>
      <c r="DR251" s="68"/>
      <c r="DS251" s="68"/>
      <c r="DT251" s="145"/>
      <c r="DU251" s="146"/>
      <c r="DV251" s="146"/>
      <c r="DW251" s="146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</row>
    <row r="252" spans="1:138" x14ac:dyDescent="0.2">
      <c r="A252" s="7"/>
      <c r="B252" s="200"/>
      <c r="C252" s="19"/>
      <c r="D252" s="19"/>
      <c r="E252" s="82"/>
      <c r="F252" s="82"/>
      <c r="G252" s="9"/>
      <c r="H252" s="93"/>
      <c r="I252" s="47"/>
      <c r="J252" s="94"/>
      <c r="K252" s="112"/>
      <c r="L252" s="112"/>
      <c r="M252" s="112"/>
      <c r="N252" s="112"/>
      <c r="O252" s="112"/>
      <c r="P252" s="112"/>
      <c r="Q252" s="112"/>
      <c r="R252" s="112"/>
      <c r="S252" s="112"/>
      <c r="T252" s="96"/>
      <c r="U252" s="112"/>
      <c r="V252" s="112"/>
      <c r="W252" s="112"/>
      <c r="X252" s="96"/>
      <c r="Y252" s="96"/>
      <c r="Z252" s="96"/>
      <c r="AA252" s="96"/>
      <c r="AB252" s="96"/>
      <c r="AC252" s="96"/>
      <c r="AD252" s="96"/>
      <c r="AE252" s="110"/>
      <c r="AF252" s="110"/>
      <c r="AG252" s="112"/>
      <c r="AH252" s="112"/>
      <c r="AI252" s="112"/>
      <c r="AJ252" s="112"/>
      <c r="AK252" s="112"/>
      <c r="AL252" s="112"/>
      <c r="AM252" s="112"/>
      <c r="AN252" s="255"/>
      <c r="AO252" s="251"/>
      <c r="AP252" s="112"/>
      <c r="AQ252" s="112"/>
      <c r="AR252" s="112"/>
      <c r="AS252" s="112"/>
      <c r="AT252" s="112"/>
      <c r="AU252" s="112"/>
      <c r="AV252" s="112"/>
      <c r="AW252" s="112"/>
      <c r="AX252" s="96"/>
      <c r="AY252" s="112"/>
      <c r="AZ252" s="96"/>
      <c r="BA252" s="11"/>
      <c r="BB252" s="11"/>
      <c r="BC252" s="96"/>
      <c r="BD252" s="112"/>
      <c r="BE252" s="96"/>
      <c r="BF252" s="112"/>
      <c r="BG252" s="112"/>
      <c r="BH252" s="112"/>
      <c r="BI252" s="112"/>
      <c r="BJ252" s="112"/>
      <c r="BK252" s="112"/>
      <c r="BL252" s="112"/>
      <c r="BM252" s="112"/>
      <c r="BN252" s="96"/>
      <c r="BO252" s="96"/>
      <c r="BP252" s="112"/>
      <c r="BQ252" s="112"/>
      <c r="BR252" s="112"/>
      <c r="BS252" s="112"/>
      <c r="BT252" s="112"/>
      <c r="BU252" s="112"/>
      <c r="BV252" s="112"/>
      <c r="BW252" s="112"/>
      <c r="BX252" s="112"/>
      <c r="BY252" s="112"/>
      <c r="BZ252" s="112"/>
      <c r="CA252" s="112"/>
      <c r="CB252" s="112"/>
      <c r="CC252" s="112"/>
      <c r="CD252" s="112"/>
      <c r="CE252" s="112"/>
      <c r="CF252" s="112"/>
      <c r="CG252" s="96"/>
      <c r="CH252" s="112"/>
      <c r="CI252" s="112"/>
      <c r="CJ252" s="112"/>
      <c r="CK252" s="112"/>
      <c r="CL252" s="112"/>
      <c r="CM252" s="112"/>
      <c r="CN252" s="96"/>
      <c r="CO252" s="112"/>
      <c r="CP252" s="112"/>
      <c r="CQ252" s="112"/>
      <c r="CR252" s="112"/>
      <c r="CS252" s="112"/>
      <c r="CT252" s="112"/>
      <c r="CU252" s="112"/>
      <c r="CV252" s="112"/>
      <c r="CW252" s="112"/>
      <c r="CX252" s="96"/>
      <c r="CY252" s="112"/>
      <c r="CZ252" s="112"/>
      <c r="DA252" s="26"/>
      <c r="DB252" s="42"/>
      <c r="DC252" s="43"/>
      <c r="DD252" s="62"/>
      <c r="DE252" s="62"/>
      <c r="DF252" s="4"/>
      <c r="DG252" s="4"/>
      <c r="DH252" s="4"/>
      <c r="DI252" s="4"/>
      <c r="DJ252" s="62"/>
      <c r="DK252" s="62"/>
      <c r="DL252" s="209"/>
      <c r="DM252" s="62"/>
      <c r="DN252" s="13"/>
      <c r="DO252" s="13"/>
      <c r="DP252" s="68"/>
      <c r="DQ252" s="35"/>
      <c r="DR252" s="68"/>
      <c r="DS252" s="68"/>
      <c r="DT252" s="145"/>
      <c r="DU252" s="146"/>
      <c r="DV252" s="146"/>
      <c r="DW252" s="146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</row>
    <row r="253" spans="1:138" x14ac:dyDescent="0.2">
      <c r="A253" s="7"/>
      <c r="B253" s="148"/>
      <c r="C253" s="19"/>
      <c r="D253" s="19"/>
      <c r="E253" s="82"/>
      <c r="F253" s="82"/>
      <c r="G253" s="9"/>
      <c r="H253" s="93"/>
      <c r="I253" s="47"/>
      <c r="J253" s="94"/>
      <c r="K253" s="20"/>
      <c r="L253" s="20"/>
      <c r="M253" s="20"/>
      <c r="N253" s="20"/>
      <c r="O253" s="20"/>
      <c r="P253" s="20"/>
      <c r="Q253" s="20"/>
      <c r="R253" s="20"/>
      <c r="S253" s="112"/>
      <c r="T253" s="96"/>
      <c r="U253" s="112"/>
      <c r="V253" s="20"/>
      <c r="W253" s="112"/>
      <c r="X253" s="96"/>
      <c r="Y253" s="96"/>
      <c r="Z253" s="96"/>
      <c r="AA253" s="96"/>
      <c r="AB253" s="96"/>
      <c r="AC253" s="96"/>
      <c r="AD253" s="96"/>
      <c r="AE253" s="110"/>
      <c r="AF253" s="110"/>
      <c r="AG253" s="20"/>
      <c r="AH253" s="20"/>
      <c r="AI253" s="20"/>
      <c r="AJ253" s="20"/>
      <c r="AK253" s="20"/>
      <c r="AL253" s="20"/>
      <c r="AM253" s="20"/>
      <c r="AN253" s="254"/>
      <c r="AO253" s="251"/>
      <c r="AP253" s="20"/>
      <c r="AQ253" s="20"/>
      <c r="AR253" s="20"/>
      <c r="AS253" s="20"/>
      <c r="AT253" s="20"/>
      <c r="AU253" s="20"/>
      <c r="AV253" s="20"/>
      <c r="AW253" s="20"/>
      <c r="AX253" s="11"/>
      <c r="AY253" s="20"/>
      <c r="AZ253" s="96"/>
      <c r="BA253" s="11"/>
      <c r="BB253" s="11"/>
      <c r="BC253" s="96"/>
      <c r="BD253" s="20"/>
      <c r="BE253" s="96"/>
      <c r="BF253" s="20"/>
      <c r="BG253" s="20"/>
      <c r="BH253" s="20"/>
      <c r="BI253" s="20"/>
      <c r="BJ253" s="20"/>
      <c r="BK253" s="20"/>
      <c r="BL253" s="20"/>
      <c r="BM253" s="20"/>
      <c r="BN253" s="112"/>
      <c r="BO253" s="11"/>
      <c r="BP253" s="20"/>
      <c r="BQ253" s="20"/>
      <c r="BR253" s="20"/>
      <c r="BS253" s="20"/>
      <c r="BT253" s="20"/>
      <c r="BU253" s="112"/>
      <c r="BV253" s="112"/>
      <c r="BW253" s="112"/>
      <c r="BX253" s="20"/>
      <c r="BY253" s="20"/>
      <c r="BZ253" s="20"/>
      <c r="CA253" s="20"/>
      <c r="CB253" s="20"/>
      <c r="CC253" s="20"/>
      <c r="CD253" s="20"/>
      <c r="CE253" s="20"/>
      <c r="CF253" s="20"/>
      <c r="CG253" s="96"/>
      <c r="CH253" s="20"/>
      <c r="CI253" s="20"/>
      <c r="CJ253" s="20"/>
      <c r="CK253" s="20"/>
      <c r="CL253" s="20"/>
      <c r="CM253" s="20"/>
      <c r="CN253" s="11"/>
      <c r="CO253" s="20"/>
      <c r="CP253" s="20"/>
      <c r="CQ253" s="20"/>
      <c r="CR253" s="20"/>
      <c r="CS253" s="20"/>
      <c r="CT253" s="20"/>
      <c r="CU253" s="20"/>
      <c r="CV253" s="20"/>
      <c r="CW253" s="20"/>
      <c r="CX253" s="96"/>
      <c r="CY253" s="112"/>
      <c r="CZ253" s="20"/>
      <c r="DA253" s="26"/>
      <c r="DB253" s="42"/>
      <c r="DC253" s="43"/>
      <c r="DD253" s="62"/>
      <c r="DE253" s="62"/>
      <c r="DF253" s="4"/>
      <c r="DG253" s="4"/>
      <c r="DH253" s="4"/>
      <c r="DI253" s="4"/>
      <c r="DJ253" s="62"/>
      <c r="DK253" s="62"/>
      <c r="DL253" s="209"/>
      <c r="DM253" s="62"/>
      <c r="DN253" s="13"/>
      <c r="DO253" s="13"/>
      <c r="DP253" s="68"/>
      <c r="DQ253" s="35"/>
      <c r="DR253" s="68"/>
      <c r="DS253" s="68"/>
      <c r="DT253" s="145"/>
      <c r="DU253" s="146"/>
      <c r="DV253" s="146"/>
      <c r="DW253" s="146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</row>
    <row r="254" spans="1:138" x14ac:dyDescent="0.2">
      <c r="A254" s="7"/>
      <c r="B254" s="148"/>
      <c r="C254" s="19"/>
      <c r="D254" s="19"/>
      <c r="E254" s="82"/>
      <c r="F254" s="82"/>
      <c r="G254" s="9"/>
      <c r="H254" s="93"/>
      <c r="I254" s="47"/>
      <c r="J254" s="94"/>
      <c r="K254" s="20"/>
      <c r="L254" s="20"/>
      <c r="M254" s="20"/>
      <c r="N254" s="20"/>
      <c r="O254" s="20"/>
      <c r="P254" s="20"/>
      <c r="Q254" s="20"/>
      <c r="R254" s="20"/>
      <c r="S254" s="20"/>
      <c r="T254" s="96"/>
      <c r="U254" s="20"/>
      <c r="V254" s="20"/>
      <c r="W254" s="20"/>
      <c r="X254" s="96"/>
      <c r="Y254" s="96"/>
      <c r="Z254" s="96"/>
      <c r="AA254" s="96"/>
      <c r="AB254" s="96"/>
      <c r="AC254" s="96"/>
      <c r="AD254" s="96"/>
      <c r="AE254" s="110"/>
      <c r="AF254" s="110"/>
      <c r="AG254" s="20"/>
      <c r="AH254" s="20"/>
      <c r="AI254" s="20"/>
      <c r="AJ254" s="20"/>
      <c r="AK254" s="20"/>
      <c r="AL254" s="20"/>
      <c r="AM254" s="20"/>
      <c r="AN254" s="254"/>
      <c r="AO254" s="251"/>
      <c r="AP254" s="20"/>
      <c r="AQ254" s="20"/>
      <c r="AR254" s="20"/>
      <c r="AS254" s="20"/>
      <c r="AT254" s="20"/>
      <c r="AU254" s="20"/>
      <c r="AV254" s="20"/>
      <c r="AW254" s="20"/>
      <c r="AX254" s="20"/>
      <c r="AY254" s="11"/>
      <c r="AZ254" s="96"/>
      <c r="BA254" s="11"/>
      <c r="BB254" s="11"/>
      <c r="BC254" s="96"/>
      <c r="BD254" s="20"/>
      <c r="BE254" s="96"/>
      <c r="BF254" s="20"/>
      <c r="BG254" s="20"/>
      <c r="BH254" s="20"/>
      <c r="BI254" s="20"/>
      <c r="BJ254" s="20"/>
      <c r="BK254" s="20"/>
      <c r="BL254" s="20"/>
      <c r="BM254" s="20"/>
      <c r="BN254" s="112"/>
      <c r="BO254" s="20"/>
      <c r="BP254" s="20"/>
      <c r="BQ254" s="20"/>
      <c r="BR254" s="20"/>
      <c r="BS254" s="11"/>
      <c r="BT254" s="11"/>
      <c r="BU254" s="112"/>
      <c r="BV254" s="20"/>
      <c r="BW254" s="112"/>
      <c r="BX254" s="20"/>
      <c r="BY254" s="20"/>
      <c r="BZ254" s="20"/>
      <c r="CA254" s="20"/>
      <c r="CB254" s="20"/>
      <c r="CC254" s="20"/>
      <c r="CD254" s="20"/>
      <c r="CE254" s="20"/>
      <c r="CF254" s="20"/>
      <c r="CG254" s="96"/>
      <c r="CH254" s="20"/>
      <c r="CI254" s="20"/>
      <c r="CJ254" s="20"/>
      <c r="CK254" s="20"/>
      <c r="CL254" s="20"/>
      <c r="CM254" s="20"/>
      <c r="CN254" s="11"/>
      <c r="CO254" s="20"/>
      <c r="CP254" s="20"/>
      <c r="CQ254" s="20"/>
      <c r="CR254" s="20"/>
      <c r="CS254" s="20"/>
      <c r="CT254" s="20"/>
      <c r="CU254" s="20"/>
      <c r="CV254" s="20"/>
      <c r="CW254" s="20"/>
      <c r="CX254" s="96"/>
      <c r="CY254" s="112"/>
      <c r="CZ254" s="20"/>
      <c r="DA254" s="26"/>
      <c r="DB254" s="42"/>
      <c r="DC254" s="43"/>
      <c r="DD254" s="62"/>
      <c r="DE254" s="62"/>
      <c r="DF254" s="4"/>
      <c r="DG254" s="4"/>
      <c r="DH254" s="4"/>
      <c r="DI254" s="4"/>
      <c r="DJ254" s="62"/>
      <c r="DK254" s="62"/>
      <c r="DL254" s="209"/>
      <c r="DM254" s="62"/>
      <c r="DN254" s="13"/>
      <c r="DO254" s="13"/>
      <c r="DP254" s="68"/>
      <c r="DQ254" s="35"/>
      <c r="DR254" s="68"/>
      <c r="DS254" s="68"/>
      <c r="DT254" s="145"/>
      <c r="DU254" s="146"/>
      <c r="DV254" s="146"/>
      <c r="DW254" s="146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</row>
    <row r="255" spans="1:138" x14ac:dyDescent="0.2">
      <c r="A255" s="7"/>
      <c r="B255" s="200"/>
      <c r="C255" s="19"/>
      <c r="D255" s="19"/>
      <c r="E255" s="82"/>
      <c r="F255" s="82"/>
      <c r="G255" s="9"/>
      <c r="H255" s="93"/>
      <c r="I255" s="47"/>
      <c r="J255" s="113"/>
      <c r="K255" s="112"/>
      <c r="L255" s="112"/>
      <c r="M255" s="112"/>
      <c r="N255" s="112"/>
      <c r="O255" s="112"/>
      <c r="P255" s="112"/>
      <c r="Q255" s="112"/>
      <c r="R255" s="112"/>
      <c r="S255" s="112"/>
      <c r="T255" s="96"/>
      <c r="U255" s="112"/>
      <c r="V255" s="112"/>
      <c r="W255" s="112"/>
      <c r="X255" s="96"/>
      <c r="Y255" s="96"/>
      <c r="Z255" s="96"/>
      <c r="AA255" s="96"/>
      <c r="AB255" s="96"/>
      <c r="AC255" s="96"/>
      <c r="AD255" s="96"/>
      <c r="AE255" s="110"/>
      <c r="AF255" s="110"/>
      <c r="AG255" s="112"/>
      <c r="AH255" s="112"/>
      <c r="AI255" s="112"/>
      <c r="AJ255" s="112"/>
      <c r="AK255" s="112"/>
      <c r="AL255" s="112"/>
      <c r="AM255" s="112"/>
      <c r="AN255" s="255"/>
      <c r="AO255" s="251"/>
      <c r="AP255" s="112"/>
      <c r="AQ255" s="112"/>
      <c r="AR255" s="112"/>
      <c r="AS255" s="112"/>
      <c r="AT255" s="112"/>
      <c r="AU255" s="112"/>
      <c r="AV255" s="112"/>
      <c r="AW255" s="112"/>
      <c r="AX255" s="112"/>
      <c r="AY255" s="96"/>
      <c r="AZ255" s="96"/>
      <c r="BA255" s="11"/>
      <c r="BB255" s="11"/>
      <c r="BC255" s="96"/>
      <c r="BD255" s="112"/>
      <c r="BE255" s="96"/>
      <c r="BF255" s="112"/>
      <c r="BG255" s="112"/>
      <c r="BH255" s="112"/>
      <c r="BI255" s="112"/>
      <c r="BJ255" s="112"/>
      <c r="BK255" s="112"/>
      <c r="BL255" s="112"/>
      <c r="BM255" s="112"/>
      <c r="BN255" s="112"/>
      <c r="BO255" s="112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12"/>
      <c r="CA255" s="112"/>
      <c r="CB255" s="112"/>
      <c r="CC255" s="112"/>
      <c r="CD255" s="112"/>
      <c r="CE255" s="112"/>
      <c r="CF255" s="112"/>
      <c r="CG255" s="96"/>
      <c r="CH255" s="112"/>
      <c r="CI255" s="112"/>
      <c r="CJ255" s="112"/>
      <c r="CK255" s="112"/>
      <c r="CL255" s="112"/>
      <c r="CM255" s="112"/>
      <c r="CN255" s="96"/>
      <c r="CO255" s="112"/>
      <c r="CP255" s="112"/>
      <c r="CQ255" s="112"/>
      <c r="CR255" s="112"/>
      <c r="CS255" s="112"/>
      <c r="CT255" s="112"/>
      <c r="CU255" s="112"/>
      <c r="CV255" s="112"/>
      <c r="CW255" s="112"/>
      <c r="CX255" s="96"/>
      <c r="CY255" s="112"/>
      <c r="CZ255" s="112"/>
      <c r="DA255" s="26"/>
      <c r="DB255" s="42"/>
      <c r="DC255" s="43"/>
      <c r="DD255" s="62"/>
      <c r="DE255" s="62"/>
      <c r="DF255" s="4"/>
      <c r="DG255" s="4"/>
      <c r="DH255" s="4"/>
      <c r="DI255" s="4"/>
      <c r="DJ255" s="62"/>
      <c r="DK255" s="62"/>
      <c r="DL255" s="209"/>
      <c r="DM255" s="62"/>
      <c r="DN255" s="13"/>
      <c r="DO255" s="13"/>
      <c r="DP255" s="68"/>
      <c r="DQ255" s="35"/>
      <c r="DR255" s="68"/>
      <c r="DS255" s="68"/>
      <c r="DT255" s="145"/>
      <c r="DU255" s="146"/>
      <c r="DV255" s="146"/>
      <c r="DW255" s="146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</row>
    <row r="256" spans="1:138" x14ac:dyDescent="0.2">
      <c r="A256" s="7"/>
      <c r="B256" s="148"/>
      <c r="C256" s="19"/>
      <c r="D256" s="19"/>
      <c r="E256" s="82"/>
      <c r="F256" s="82"/>
      <c r="G256" s="9"/>
      <c r="H256" s="93"/>
      <c r="I256" s="47"/>
      <c r="J256" s="94"/>
      <c r="K256" s="20"/>
      <c r="L256" s="20"/>
      <c r="M256" s="20"/>
      <c r="N256" s="20"/>
      <c r="O256" s="20"/>
      <c r="P256" s="20"/>
      <c r="Q256" s="20"/>
      <c r="R256" s="20"/>
      <c r="S256" s="20"/>
      <c r="T256" s="96"/>
      <c r="U256" s="20"/>
      <c r="V256" s="20"/>
      <c r="W256" s="20"/>
      <c r="X256" s="96"/>
      <c r="Y256" s="96"/>
      <c r="Z256" s="96"/>
      <c r="AA256" s="96"/>
      <c r="AB256" s="96"/>
      <c r="AC256" s="96"/>
      <c r="AD256" s="96"/>
      <c r="AE256" s="110"/>
      <c r="AF256" s="110"/>
      <c r="AG256" s="20"/>
      <c r="AH256" s="20"/>
      <c r="AI256" s="20"/>
      <c r="AJ256" s="20"/>
      <c r="AK256" s="20"/>
      <c r="AL256" s="20"/>
      <c r="AM256" s="20"/>
      <c r="AN256" s="254"/>
      <c r="AO256" s="251"/>
      <c r="AP256" s="20"/>
      <c r="AQ256" s="20"/>
      <c r="AR256" s="20"/>
      <c r="AS256" s="20"/>
      <c r="AT256" s="20"/>
      <c r="AU256" s="20"/>
      <c r="AV256" s="20"/>
      <c r="AW256" s="20"/>
      <c r="AX256" s="20"/>
      <c r="AY256" s="11"/>
      <c r="AZ256" s="96"/>
      <c r="BA256" s="11"/>
      <c r="BB256" s="11"/>
      <c r="BC256" s="96"/>
      <c r="BD256" s="20"/>
      <c r="BE256" s="96"/>
      <c r="BF256" s="20"/>
      <c r="BG256" s="20"/>
      <c r="BH256" s="20"/>
      <c r="BI256" s="20"/>
      <c r="BJ256" s="20"/>
      <c r="BK256" s="20"/>
      <c r="BL256" s="20"/>
      <c r="BM256" s="20"/>
      <c r="BN256" s="112"/>
      <c r="BO256" s="20"/>
      <c r="BP256" s="20"/>
      <c r="BQ256" s="20"/>
      <c r="BR256" s="20"/>
      <c r="BS256" s="11"/>
      <c r="BT256" s="11"/>
      <c r="BU256" s="112"/>
      <c r="BV256" s="112"/>
      <c r="BW256" s="112"/>
      <c r="BX256" s="20"/>
      <c r="BY256" s="20"/>
      <c r="BZ256" s="20"/>
      <c r="CA256" s="20"/>
      <c r="CB256" s="20"/>
      <c r="CC256" s="20"/>
      <c r="CD256" s="20"/>
      <c r="CE256" s="20"/>
      <c r="CF256" s="20"/>
      <c r="CG256" s="96"/>
      <c r="CH256" s="20"/>
      <c r="CI256" s="20"/>
      <c r="CJ256" s="20"/>
      <c r="CK256" s="20"/>
      <c r="CL256" s="20"/>
      <c r="CM256" s="20"/>
      <c r="CN256" s="11"/>
      <c r="CO256" s="20"/>
      <c r="CP256" s="20"/>
      <c r="CQ256" s="20"/>
      <c r="CR256" s="20"/>
      <c r="CS256" s="20"/>
      <c r="CT256" s="20"/>
      <c r="CU256" s="20"/>
      <c r="CV256" s="20"/>
      <c r="CW256" s="20"/>
      <c r="CX256" s="96"/>
      <c r="CY256" s="112"/>
      <c r="CZ256" s="20"/>
      <c r="DA256" s="26"/>
      <c r="DB256" s="42"/>
      <c r="DC256" s="43"/>
      <c r="DD256" s="62"/>
      <c r="DE256" s="62"/>
      <c r="DF256" s="4"/>
      <c r="DG256" s="4"/>
      <c r="DH256" s="4"/>
      <c r="DI256" s="4"/>
      <c r="DJ256" s="62"/>
      <c r="DK256" s="62"/>
      <c r="DL256" s="209"/>
      <c r="DM256" s="62"/>
      <c r="DN256" s="13"/>
      <c r="DO256" s="13"/>
      <c r="DP256" s="68"/>
      <c r="DQ256" s="35"/>
      <c r="DR256" s="68"/>
      <c r="DS256" s="68"/>
      <c r="DT256" s="145"/>
      <c r="DU256" s="146"/>
      <c r="DV256" s="146"/>
      <c r="DW256" s="146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</row>
    <row r="257" spans="1:138" x14ac:dyDescent="0.2">
      <c r="A257" s="7"/>
      <c r="B257" s="200"/>
      <c r="C257" s="19"/>
      <c r="D257" s="19"/>
      <c r="E257" s="82"/>
      <c r="F257" s="82"/>
      <c r="G257" s="9"/>
      <c r="H257" s="93"/>
      <c r="I257" s="47"/>
      <c r="J257" s="94"/>
      <c r="K257" s="112"/>
      <c r="L257" s="112"/>
      <c r="M257" s="112"/>
      <c r="N257" s="112"/>
      <c r="O257" s="112"/>
      <c r="P257" s="112"/>
      <c r="Q257" s="112"/>
      <c r="R257" s="112"/>
      <c r="S257" s="112"/>
      <c r="T257" s="96"/>
      <c r="U257" s="112"/>
      <c r="V257" s="112"/>
      <c r="W257" s="112"/>
      <c r="X257" s="96"/>
      <c r="Y257" s="96"/>
      <c r="Z257" s="96"/>
      <c r="AA257" s="96"/>
      <c r="AB257" s="96"/>
      <c r="AC257" s="96"/>
      <c r="AD257" s="96"/>
      <c r="AE257" s="110"/>
      <c r="AF257" s="110"/>
      <c r="AG257" s="112"/>
      <c r="AH257" s="112"/>
      <c r="AI257" s="112"/>
      <c r="AJ257" s="112"/>
      <c r="AK257" s="112"/>
      <c r="AL257" s="112"/>
      <c r="AM257" s="112"/>
      <c r="AN257" s="255"/>
      <c r="AO257" s="251"/>
      <c r="AP257" s="112"/>
      <c r="AQ257" s="112"/>
      <c r="AR257" s="112"/>
      <c r="AS257" s="112"/>
      <c r="AT257" s="112"/>
      <c r="AU257" s="112"/>
      <c r="AV257" s="112"/>
      <c r="AW257" s="112"/>
      <c r="AX257" s="112"/>
      <c r="AY257" s="96"/>
      <c r="AZ257" s="96"/>
      <c r="BA257" s="11"/>
      <c r="BB257" s="11"/>
      <c r="BC257" s="96"/>
      <c r="BD257" s="112"/>
      <c r="BE257" s="96"/>
      <c r="BF257" s="112"/>
      <c r="BG257" s="112"/>
      <c r="BH257" s="112"/>
      <c r="BI257" s="112"/>
      <c r="BJ257" s="112"/>
      <c r="BK257" s="112"/>
      <c r="BL257" s="112"/>
      <c r="BM257" s="112"/>
      <c r="BN257" s="112"/>
      <c r="BO257" s="112"/>
      <c r="BP257" s="112"/>
      <c r="BQ257" s="112"/>
      <c r="BR257" s="112"/>
      <c r="BS257" s="96"/>
      <c r="BT257" s="96"/>
      <c r="BU257" s="112"/>
      <c r="BV257" s="112"/>
      <c r="BW257" s="112"/>
      <c r="BX257" s="112"/>
      <c r="BY257" s="112"/>
      <c r="BZ257" s="112"/>
      <c r="CA257" s="112"/>
      <c r="CB257" s="112"/>
      <c r="CC257" s="112"/>
      <c r="CD257" s="112"/>
      <c r="CE257" s="112"/>
      <c r="CF257" s="112"/>
      <c r="CG257" s="96"/>
      <c r="CH257" s="112"/>
      <c r="CI257" s="112"/>
      <c r="CJ257" s="112"/>
      <c r="CK257" s="112"/>
      <c r="CL257" s="112"/>
      <c r="CM257" s="112"/>
      <c r="CN257" s="96"/>
      <c r="CO257" s="112"/>
      <c r="CP257" s="112"/>
      <c r="CQ257" s="112"/>
      <c r="CR257" s="112"/>
      <c r="CS257" s="112"/>
      <c r="CT257" s="112"/>
      <c r="CU257" s="112"/>
      <c r="CV257" s="112"/>
      <c r="CW257" s="112"/>
      <c r="CX257" s="96"/>
      <c r="CY257" s="112"/>
      <c r="CZ257" s="112"/>
      <c r="DA257" s="26"/>
      <c r="DB257" s="42"/>
      <c r="DC257" s="43"/>
      <c r="DD257" s="62"/>
      <c r="DE257" s="62"/>
      <c r="DF257" s="4"/>
      <c r="DG257" s="4"/>
      <c r="DH257" s="4"/>
      <c r="DI257" s="4"/>
      <c r="DJ257" s="62"/>
      <c r="DK257" s="62"/>
      <c r="DL257" s="209"/>
      <c r="DM257" s="62"/>
      <c r="DN257" s="13"/>
      <c r="DO257" s="13"/>
      <c r="DP257" s="68"/>
      <c r="DQ257" s="35"/>
      <c r="DR257" s="68"/>
      <c r="DS257" s="68"/>
      <c r="DT257" s="145"/>
      <c r="DU257" s="146"/>
      <c r="DV257" s="146"/>
      <c r="DW257" s="146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</row>
    <row r="258" spans="1:138" x14ac:dyDescent="0.2">
      <c r="A258" s="7"/>
      <c r="B258" s="148"/>
      <c r="C258" s="19"/>
      <c r="D258" s="19"/>
      <c r="E258" s="82"/>
      <c r="F258" s="82"/>
      <c r="G258" s="9"/>
      <c r="H258" s="93"/>
      <c r="I258" s="47"/>
      <c r="J258" s="94"/>
      <c r="K258" s="20"/>
      <c r="L258" s="20"/>
      <c r="M258" s="20"/>
      <c r="N258" s="20"/>
      <c r="O258" s="20"/>
      <c r="P258" s="20"/>
      <c r="Q258" s="20"/>
      <c r="R258" s="20"/>
      <c r="S258" s="20"/>
      <c r="T258" s="96"/>
      <c r="U258" s="20"/>
      <c r="V258" s="20"/>
      <c r="W258" s="20"/>
      <c r="X258" s="96"/>
      <c r="Y258" s="96"/>
      <c r="Z258" s="96"/>
      <c r="AA258" s="96"/>
      <c r="AB258" s="96"/>
      <c r="AC258" s="96"/>
      <c r="AD258" s="96"/>
      <c r="AE258" s="110"/>
      <c r="AF258" s="110"/>
      <c r="AG258" s="20"/>
      <c r="AH258" s="20"/>
      <c r="AI258" s="20"/>
      <c r="AJ258" s="20"/>
      <c r="AK258" s="20"/>
      <c r="AL258" s="20"/>
      <c r="AM258" s="20"/>
      <c r="AN258" s="254"/>
      <c r="AO258" s="251"/>
      <c r="AP258" s="20"/>
      <c r="AQ258" s="20"/>
      <c r="AR258" s="20"/>
      <c r="AS258" s="20"/>
      <c r="AT258" s="20"/>
      <c r="AU258" s="20"/>
      <c r="AV258" s="20"/>
      <c r="AW258" s="20"/>
      <c r="AX258" s="20"/>
      <c r="AY258" s="11"/>
      <c r="AZ258" s="96"/>
      <c r="BA258" s="11"/>
      <c r="BB258" s="11"/>
      <c r="BC258" s="96"/>
      <c r="BD258" s="20"/>
      <c r="BE258" s="96"/>
      <c r="BF258" s="20"/>
      <c r="BG258" s="20"/>
      <c r="BH258" s="20"/>
      <c r="BI258" s="20"/>
      <c r="BJ258" s="20"/>
      <c r="BK258" s="112"/>
      <c r="BL258" s="20"/>
      <c r="BM258" s="20"/>
      <c r="BN258" s="20"/>
      <c r="BO258" s="20"/>
      <c r="BP258" s="20"/>
      <c r="BQ258" s="20"/>
      <c r="BR258" s="20"/>
      <c r="BS258" s="11"/>
      <c r="BT258" s="20"/>
      <c r="BU258" s="112"/>
      <c r="BV258" s="112"/>
      <c r="BW258" s="112"/>
      <c r="BX258" s="20"/>
      <c r="BY258" s="20"/>
      <c r="BZ258" s="20"/>
      <c r="CA258" s="20"/>
      <c r="CB258" s="20"/>
      <c r="CC258" s="20"/>
      <c r="CD258" s="20"/>
      <c r="CE258" s="20"/>
      <c r="CF258" s="20"/>
      <c r="CG258" s="96"/>
      <c r="CH258" s="20"/>
      <c r="CI258" s="20"/>
      <c r="CJ258" s="20"/>
      <c r="CK258" s="20"/>
      <c r="CL258" s="20"/>
      <c r="CM258" s="20"/>
      <c r="CN258" s="11"/>
      <c r="CO258" s="20"/>
      <c r="CP258" s="20"/>
      <c r="CQ258" s="20"/>
      <c r="CR258" s="20"/>
      <c r="CS258" s="20"/>
      <c r="CT258" s="20"/>
      <c r="CU258" s="20"/>
      <c r="CV258" s="20"/>
      <c r="CW258" s="20"/>
      <c r="CX258" s="96"/>
      <c r="CY258" s="112"/>
      <c r="CZ258" s="20"/>
      <c r="DA258" s="26"/>
      <c r="DB258" s="42"/>
      <c r="DC258" s="43"/>
      <c r="DD258" s="62"/>
      <c r="DE258" s="62"/>
      <c r="DF258" s="4"/>
      <c r="DG258" s="4"/>
      <c r="DH258" s="4"/>
      <c r="DI258" s="4"/>
      <c r="DJ258" s="62"/>
      <c r="DK258" s="62"/>
      <c r="DL258" s="209"/>
      <c r="DM258" s="62"/>
      <c r="DN258" s="13"/>
      <c r="DO258" s="13"/>
      <c r="DP258" s="68"/>
      <c r="DQ258" s="35"/>
      <c r="DR258" s="68"/>
      <c r="DS258" s="68"/>
      <c r="DT258" s="145"/>
      <c r="DU258" s="146"/>
      <c r="DV258" s="146"/>
      <c r="DW258" s="146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</row>
    <row r="259" spans="1:138" x14ac:dyDescent="0.2">
      <c r="A259" s="7"/>
      <c r="B259" s="189"/>
      <c r="C259" s="19"/>
      <c r="D259" s="19"/>
      <c r="E259" s="82"/>
      <c r="F259" s="82"/>
      <c r="G259" s="9"/>
      <c r="H259" s="93"/>
      <c r="I259" s="47"/>
      <c r="J259" s="94"/>
      <c r="K259" s="20"/>
      <c r="L259" s="20"/>
      <c r="M259" s="20"/>
      <c r="N259" s="20"/>
      <c r="O259" s="20"/>
      <c r="P259" s="20"/>
      <c r="Q259" s="20"/>
      <c r="R259" s="20"/>
      <c r="S259" s="112"/>
      <c r="T259" s="11"/>
      <c r="U259" s="20"/>
      <c r="V259" s="20"/>
      <c r="W259" s="20"/>
      <c r="X259" s="96"/>
      <c r="Y259" s="11"/>
      <c r="Z259" s="11"/>
      <c r="AA259" s="96"/>
      <c r="AB259" s="11"/>
      <c r="AC259" s="11"/>
      <c r="AD259" s="96"/>
      <c r="AE259" s="79"/>
      <c r="AF259" s="79"/>
      <c r="AG259" s="20"/>
      <c r="AH259" s="20"/>
      <c r="AI259" s="20"/>
      <c r="AJ259" s="20"/>
      <c r="AK259" s="20"/>
      <c r="AL259" s="20"/>
      <c r="AM259" s="20"/>
      <c r="AN259" s="254"/>
      <c r="AO259" s="251"/>
      <c r="AP259" s="20"/>
      <c r="AQ259" s="20"/>
      <c r="AR259" s="20"/>
      <c r="AS259" s="20"/>
      <c r="AT259" s="20"/>
      <c r="AU259" s="20"/>
      <c r="AV259" s="20"/>
      <c r="AW259" s="20"/>
      <c r="AX259" s="20"/>
      <c r="AY259" s="96"/>
      <c r="AZ259" s="96"/>
      <c r="BA259" s="11"/>
      <c r="BB259" s="11"/>
      <c r="BC259" s="11"/>
      <c r="BD259" s="20"/>
      <c r="BE259" s="11"/>
      <c r="BF259" s="20"/>
      <c r="BG259" s="20"/>
      <c r="BH259" s="20"/>
      <c r="BI259" s="20"/>
      <c r="BJ259" s="20"/>
      <c r="BK259" s="20"/>
      <c r="BL259" s="20"/>
      <c r="BM259" s="112"/>
      <c r="BN259" s="20"/>
      <c r="BO259" s="20"/>
      <c r="BP259" s="20"/>
      <c r="BQ259" s="20"/>
      <c r="BR259" s="20"/>
      <c r="BS259" s="11"/>
      <c r="BT259" s="96"/>
      <c r="BU259" s="112"/>
      <c r="BV259" s="112"/>
      <c r="BW259" s="20"/>
      <c r="BX259" s="20"/>
      <c r="BY259" s="112"/>
      <c r="BZ259" s="112"/>
      <c r="CA259" s="20"/>
      <c r="CB259" s="20"/>
      <c r="CC259" s="20"/>
      <c r="CD259" s="20"/>
      <c r="CE259" s="20"/>
      <c r="CF259" s="20"/>
      <c r="CG259" s="96"/>
      <c r="CH259" s="20"/>
      <c r="CI259" s="20"/>
      <c r="CJ259" s="112"/>
      <c r="CK259" s="112"/>
      <c r="CL259" s="20"/>
      <c r="CM259" s="20"/>
      <c r="CN259" s="11"/>
      <c r="CO259" s="20"/>
      <c r="CP259" s="20"/>
      <c r="CQ259" s="20"/>
      <c r="CR259" s="20"/>
      <c r="CS259" s="20"/>
      <c r="CT259" s="20"/>
      <c r="CU259" s="20"/>
      <c r="CV259" s="20"/>
      <c r="CW259" s="20"/>
      <c r="CX259" s="11"/>
      <c r="CY259" s="20"/>
      <c r="CZ259" s="20"/>
      <c r="DA259" s="26"/>
      <c r="DB259" s="42"/>
      <c r="DC259" s="43"/>
      <c r="DD259" s="62"/>
      <c r="DE259" s="62"/>
      <c r="DF259" s="4"/>
      <c r="DG259" s="4"/>
      <c r="DH259" s="4"/>
      <c r="DI259" s="4"/>
      <c r="DJ259" s="62"/>
      <c r="DK259" s="62"/>
      <c r="DL259" s="209"/>
      <c r="DM259" s="62"/>
      <c r="DN259" s="13"/>
      <c r="DO259" s="13"/>
      <c r="DP259" s="68"/>
      <c r="DQ259" s="35"/>
      <c r="DR259" s="68"/>
      <c r="DS259" s="68"/>
      <c r="DT259" s="145"/>
      <c r="DU259" s="146"/>
      <c r="DV259" s="146"/>
      <c r="DW259" s="146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</row>
    <row r="260" spans="1:138" x14ac:dyDescent="0.2">
      <c r="A260" s="7"/>
      <c r="B260" s="189"/>
      <c r="C260" s="19"/>
      <c r="D260" s="19"/>
      <c r="E260" s="82"/>
      <c r="F260" s="82"/>
      <c r="G260" s="9"/>
      <c r="H260" s="93"/>
      <c r="I260" s="47"/>
      <c r="J260" s="94"/>
      <c r="K260" s="112"/>
      <c r="L260" s="112"/>
      <c r="M260" s="112"/>
      <c r="N260" s="112"/>
      <c r="O260" s="112"/>
      <c r="P260" s="112"/>
      <c r="Q260" s="112"/>
      <c r="R260" s="112"/>
      <c r="S260" s="112"/>
      <c r="T260" s="96"/>
      <c r="U260" s="112"/>
      <c r="V260" s="112"/>
      <c r="W260" s="112"/>
      <c r="X260" s="96"/>
      <c r="Y260" s="96"/>
      <c r="Z260" s="96"/>
      <c r="AA260" s="96"/>
      <c r="AB260" s="96"/>
      <c r="AC260" s="96"/>
      <c r="AD260" s="96"/>
      <c r="AE260" s="110"/>
      <c r="AF260" s="110"/>
      <c r="AG260" s="112"/>
      <c r="AH260" s="112"/>
      <c r="AI260" s="112"/>
      <c r="AJ260" s="112"/>
      <c r="AK260" s="112"/>
      <c r="AL260" s="112"/>
      <c r="AM260" s="112"/>
      <c r="AN260" s="255"/>
      <c r="AO260" s="251"/>
      <c r="AP260" s="112"/>
      <c r="AQ260" s="112"/>
      <c r="AR260" s="112"/>
      <c r="AS260" s="112"/>
      <c r="AT260" s="112"/>
      <c r="AU260" s="112"/>
      <c r="AV260" s="112"/>
      <c r="AW260" s="112"/>
      <c r="AX260" s="112"/>
      <c r="AY260" s="96"/>
      <c r="AZ260" s="96"/>
      <c r="BA260" s="11"/>
      <c r="BB260" s="11"/>
      <c r="BC260" s="96"/>
      <c r="BD260" s="112"/>
      <c r="BE260" s="96"/>
      <c r="BF260" s="112"/>
      <c r="BG260" s="112"/>
      <c r="BH260" s="112"/>
      <c r="BI260" s="96"/>
      <c r="BJ260" s="112"/>
      <c r="BK260" s="112"/>
      <c r="BL260" s="112"/>
      <c r="BM260" s="112"/>
      <c r="BN260" s="112"/>
      <c r="BO260" s="112"/>
      <c r="BP260" s="112"/>
      <c r="BQ260" s="112"/>
      <c r="BR260" s="112"/>
      <c r="BS260" s="96"/>
      <c r="BT260" s="112"/>
      <c r="BU260" s="112"/>
      <c r="BV260" s="112"/>
      <c r="BW260" s="112"/>
      <c r="BX260" s="112"/>
      <c r="BY260" s="112"/>
      <c r="BZ260" s="112"/>
      <c r="CA260" s="96"/>
      <c r="CB260" s="112"/>
      <c r="CC260" s="96"/>
      <c r="CD260" s="112"/>
      <c r="CE260" s="96"/>
      <c r="CF260" s="112"/>
      <c r="CG260" s="96"/>
      <c r="CH260" s="112"/>
      <c r="CI260" s="112"/>
      <c r="CJ260" s="112"/>
      <c r="CK260" s="112"/>
      <c r="CL260" s="112"/>
      <c r="CM260" s="112"/>
      <c r="CN260" s="96"/>
      <c r="CO260" s="112"/>
      <c r="CP260" s="112"/>
      <c r="CQ260" s="112"/>
      <c r="CR260" s="112"/>
      <c r="CS260" s="112"/>
      <c r="CT260" s="112"/>
      <c r="CU260" s="112"/>
      <c r="CV260" s="112"/>
      <c r="CW260" s="112"/>
      <c r="CX260" s="96"/>
      <c r="CY260" s="112"/>
      <c r="CZ260" s="112"/>
      <c r="DA260" s="26"/>
      <c r="DB260" s="42"/>
      <c r="DC260" s="43"/>
      <c r="DD260" s="62"/>
      <c r="DE260" s="62"/>
      <c r="DF260" s="4"/>
      <c r="DG260" s="4"/>
      <c r="DH260" s="4"/>
      <c r="DI260" s="4"/>
      <c r="DJ260" s="62"/>
      <c r="DK260" s="62"/>
      <c r="DL260" s="209"/>
      <c r="DM260" s="62"/>
      <c r="DN260" s="13"/>
      <c r="DO260" s="13"/>
      <c r="DP260" s="68"/>
      <c r="DQ260" s="35"/>
      <c r="DR260" s="68"/>
      <c r="DS260" s="68"/>
      <c r="DT260" s="145"/>
      <c r="DU260" s="146"/>
      <c r="DV260" s="146"/>
      <c r="DW260" s="146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</row>
    <row r="261" spans="1:138" x14ac:dyDescent="0.2">
      <c r="A261" s="7"/>
      <c r="B261" s="189"/>
      <c r="C261" s="19"/>
      <c r="D261" s="19"/>
      <c r="E261" s="82"/>
      <c r="F261" s="82"/>
      <c r="G261" s="9"/>
      <c r="H261" s="93"/>
      <c r="I261" s="47"/>
      <c r="J261" s="94"/>
      <c r="K261" s="112"/>
      <c r="L261" s="112"/>
      <c r="M261" s="112"/>
      <c r="N261" s="112"/>
      <c r="O261" s="112"/>
      <c r="P261" s="112"/>
      <c r="Q261" s="112"/>
      <c r="R261" s="112"/>
      <c r="S261" s="112"/>
      <c r="T261" s="96"/>
      <c r="U261" s="112"/>
      <c r="V261" s="112"/>
      <c r="W261" s="112"/>
      <c r="X261" s="96"/>
      <c r="Y261" s="96"/>
      <c r="Z261" s="96"/>
      <c r="AA261" s="96"/>
      <c r="AB261" s="96"/>
      <c r="AC261" s="96"/>
      <c r="AD261" s="96"/>
      <c r="AE261" s="110"/>
      <c r="AF261" s="110"/>
      <c r="AG261" s="112"/>
      <c r="AH261" s="112"/>
      <c r="AI261" s="112"/>
      <c r="AJ261" s="112"/>
      <c r="AK261" s="112"/>
      <c r="AL261" s="112"/>
      <c r="AM261" s="112"/>
      <c r="AN261" s="255"/>
      <c r="AO261" s="251"/>
      <c r="AP261" s="112"/>
      <c r="AQ261" s="112"/>
      <c r="AR261" s="112"/>
      <c r="AS261" s="112"/>
      <c r="AT261" s="112"/>
      <c r="AU261" s="112"/>
      <c r="AV261" s="112"/>
      <c r="AW261" s="112"/>
      <c r="AX261" s="112"/>
      <c r="AY261" s="96"/>
      <c r="AZ261" s="96"/>
      <c r="BA261" s="11"/>
      <c r="BB261" s="11"/>
      <c r="BC261" s="96"/>
      <c r="BD261" s="112"/>
      <c r="BE261" s="96"/>
      <c r="BF261" s="112"/>
      <c r="BG261" s="112"/>
      <c r="BH261" s="112"/>
      <c r="BI261" s="112"/>
      <c r="BJ261" s="112"/>
      <c r="BK261" s="112"/>
      <c r="BL261" s="112"/>
      <c r="BM261" s="112"/>
      <c r="BN261" s="112"/>
      <c r="BO261" s="112"/>
      <c r="BP261" s="112"/>
      <c r="BQ261" s="112"/>
      <c r="BR261" s="112"/>
      <c r="BS261" s="96"/>
      <c r="BT261" s="112"/>
      <c r="BU261" s="112"/>
      <c r="BV261" s="112"/>
      <c r="BW261" s="112"/>
      <c r="BX261" s="112"/>
      <c r="BY261" s="112"/>
      <c r="BZ261" s="112"/>
      <c r="CA261" s="112"/>
      <c r="CB261" s="112"/>
      <c r="CC261" s="112"/>
      <c r="CD261" s="112"/>
      <c r="CE261" s="112"/>
      <c r="CF261" s="112"/>
      <c r="CG261" s="96"/>
      <c r="CH261" s="112"/>
      <c r="CI261" s="112"/>
      <c r="CJ261" s="112"/>
      <c r="CK261" s="112"/>
      <c r="CL261" s="112"/>
      <c r="CM261" s="112"/>
      <c r="CN261" s="96"/>
      <c r="CO261" s="112"/>
      <c r="CP261" s="112"/>
      <c r="CQ261" s="112"/>
      <c r="CR261" s="112"/>
      <c r="CS261" s="112"/>
      <c r="CT261" s="112"/>
      <c r="CU261" s="112"/>
      <c r="CV261" s="112"/>
      <c r="CW261" s="112"/>
      <c r="CX261" s="96"/>
      <c r="CY261" s="112"/>
      <c r="CZ261" s="112"/>
      <c r="DA261" s="26"/>
      <c r="DB261" s="42"/>
      <c r="DC261" s="43"/>
      <c r="DD261" s="62"/>
      <c r="DE261" s="62"/>
      <c r="DF261" s="4"/>
      <c r="DG261" s="4"/>
      <c r="DH261" s="4"/>
      <c r="DI261" s="4"/>
      <c r="DJ261" s="62"/>
      <c r="DK261" s="62"/>
      <c r="DL261" s="209"/>
      <c r="DM261" s="62"/>
      <c r="DN261" s="13"/>
      <c r="DO261" s="13"/>
      <c r="DP261" s="68"/>
      <c r="DQ261" s="35"/>
      <c r="DR261" s="68"/>
      <c r="DS261" s="68"/>
      <c r="DT261" s="145"/>
      <c r="DU261" s="146"/>
      <c r="DV261" s="146"/>
      <c r="DW261" s="146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</row>
    <row r="262" spans="1:138" x14ac:dyDescent="0.2">
      <c r="A262" s="7"/>
      <c r="B262" s="148"/>
      <c r="C262" s="19"/>
      <c r="D262" s="19"/>
      <c r="E262" s="82"/>
      <c r="F262" s="82"/>
      <c r="G262" s="9"/>
      <c r="H262" s="93"/>
      <c r="I262" s="47"/>
      <c r="J262" s="94"/>
      <c r="K262" s="20"/>
      <c r="L262" s="20"/>
      <c r="M262" s="20"/>
      <c r="N262" s="20"/>
      <c r="O262" s="20"/>
      <c r="P262" s="20"/>
      <c r="Q262" s="20"/>
      <c r="R262" s="20"/>
      <c r="S262" s="20"/>
      <c r="T262" s="96"/>
      <c r="U262" s="20"/>
      <c r="V262" s="20"/>
      <c r="W262" s="20"/>
      <c r="X262" s="96"/>
      <c r="Y262" s="96"/>
      <c r="Z262" s="96"/>
      <c r="AA262" s="96"/>
      <c r="AB262" s="96"/>
      <c r="AC262" s="96"/>
      <c r="AD262" s="96"/>
      <c r="AE262" s="110"/>
      <c r="AF262" s="110"/>
      <c r="AG262" s="20"/>
      <c r="AH262" s="20"/>
      <c r="AI262" s="20"/>
      <c r="AJ262" s="20"/>
      <c r="AK262" s="20"/>
      <c r="AL262" s="20"/>
      <c r="AM262" s="20"/>
      <c r="AN262" s="254"/>
      <c r="AO262" s="251"/>
      <c r="AP262" s="20"/>
      <c r="AQ262" s="20"/>
      <c r="AR262" s="20"/>
      <c r="AS262" s="20"/>
      <c r="AT262" s="20"/>
      <c r="AU262" s="20"/>
      <c r="AV262" s="20"/>
      <c r="AW262" s="20"/>
      <c r="AX262" s="20"/>
      <c r="AY262" s="11"/>
      <c r="AZ262" s="96"/>
      <c r="BA262" s="11"/>
      <c r="BB262" s="11"/>
      <c r="BC262" s="96"/>
      <c r="BD262" s="20"/>
      <c r="BE262" s="96"/>
      <c r="BF262" s="20"/>
      <c r="BG262" s="20"/>
      <c r="BH262" s="20"/>
      <c r="BI262" s="20"/>
      <c r="BJ262" s="20"/>
      <c r="BK262" s="20"/>
      <c r="BL262" s="20"/>
      <c r="BM262" s="20"/>
      <c r="BN262" s="96"/>
      <c r="BO262" s="11"/>
      <c r="BP262" s="20"/>
      <c r="BQ262" s="20"/>
      <c r="BR262" s="20"/>
      <c r="BS262" s="11"/>
      <c r="BT262" s="20"/>
      <c r="BU262" s="112"/>
      <c r="BV262" s="112"/>
      <c r="BW262" s="112"/>
      <c r="BX262" s="20"/>
      <c r="BY262" s="20"/>
      <c r="BZ262" s="20"/>
      <c r="CA262" s="20"/>
      <c r="CB262" s="20"/>
      <c r="CC262" s="20"/>
      <c r="CD262" s="20"/>
      <c r="CE262" s="20"/>
      <c r="CF262" s="20"/>
      <c r="CG262" s="96"/>
      <c r="CH262" s="20"/>
      <c r="CI262" s="20"/>
      <c r="CJ262" s="20"/>
      <c r="CK262" s="20"/>
      <c r="CL262" s="20"/>
      <c r="CM262" s="20"/>
      <c r="CN262" s="11"/>
      <c r="CO262" s="20"/>
      <c r="CP262" s="20"/>
      <c r="CQ262" s="20"/>
      <c r="CR262" s="20"/>
      <c r="CS262" s="20"/>
      <c r="CT262" s="112"/>
      <c r="CU262" s="20"/>
      <c r="CV262" s="112"/>
      <c r="CW262" s="20"/>
      <c r="CX262" s="96"/>
      <c r="CY262" s="112"/>
      <c r="CZ262" s="20"/>
      <c r="DA262" s="26"/>
      <c r="DB262" s="42"/>
      <c r="DC262" s="43"/>
      <c r="DD262" s="62"/>
      <c r="DE262" s="62"/>
      <c r="DF262" s="4"/>
      <c r="DG262" s="4"/>
      <c r="DH262" s="4"/>
      <c r="DI262" s="4"/>
      <c r="DJ262" s="62"/>
      <c r="DK262" s="62"/>
      <c r="DL262" s="209"/>
      <c r="DM262" s="62"/>
      <c r="DN262" s="13"/>
      <c r="DO262" s="13"/>
      <c r="DP262" s="68"/>
      <c r="DQ262" s="35"/>
      <c r="DR262" s="68"/>
      <c r="DS262" s="68"/>
      <c r="DT262" s="145"/>
      <c r="DU262" s="146"/>
      <c r="DV262" s="146"/>
      <c r="DW262" s="146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</row>
    <row r="263" spans="1:138" x14ac:dyDescent="0.2">
      <c r="A263" s="7"/>
      <c r="B263" s="148"/>
      <c r="C263" s="19"/>
      <c r="D263" s="19"/>
      <c r="E263" s="82"/>
      <c r="F263" s="82"/>
      <c r="G263" s="9"/>
      <c r="H263" s="93"/>
      <c r="I263" s="47"/>
      <c r="J263" s="94"/>
      <c r="K263" s="20"/>
      <c r="L263" s="20"/>
      <c r="M263" s="20"/>
      <c r="N263" s="20"/>
      <c r="O263" s="20"/>
      <c r="P263" s="20"/>
      <c r="Q263" s="20"/>
      <c r="R263" s="20"/>
      <c r="S263" s="20"/>
      <c r="T263" s="96"/>
      <c r="U263" s="20"/>
      <c r="V263" s="20"/>
      <c r="W263" s="20"/>
      <c r="X263" s="96"/>
      <c r="Y263" s="96"/>
      <c r="Z263" s="96"/>
      <c r="AA263" s="96"/>
      <c r="AB263" s="96"/>
      <c r="AC263" s="96"/>
      <c r="AD263" s="96"/>
      <c r="AE263" s="110"/>
      <c r="AF263" s="110"/>
      <c r="AG263" s="20"/>
      <c r="AH263" s="20"/>
      <c r="AI263" s="20"/>
      <c r="AJ263" s="20"/>
      <c r="AK263" s="20"/>
      <c r="AL263" s="20"/>
      <c r="AM263" s="20"/>
      <c r="AN263" s="254"/>
      <c r="AO263" s="251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96"/>
      <c r="BA263" s="11"/>
      <c r="BB263" s="11"/>
      <c r="BC263" s="96"/>
      <c r="BD263" s="20"/>
      <c r="BE263" s="96"/>
      <c r="BF263" s="20"/>
      <c r="BG263" s="20"/>
      <c r="BH263" s="20"/>
      <c r="BI263" s="20"/>
      <c r="BJ263" s="20"/>
      <c r="BK263" s="20"/>
      <c r="BL263" s="20"/>
      <c r="BM263" s="20"/>
      <c r="BN263" s="96"/>
      <c r="BO263" s="11"/>
      <c r="BP263" s="20"/>
      <c r="BQ263" s="20"/>
      <c r="BR263" s="20"/>
      <c r="BS263" s="11"/>
      <c r="BT263" s="20"/>
      <c r="BU263" s="112"/>
      <c r="BV263" s="112"/>
      <c r="BW263" s="112"/>
      <c r="BX263" s="20"/>
      <c r="BY263" s="20"/>
      <c r="BZ263" s="20"/>
      <c r="CA263" s="20"/>
      <c r="CB263" s="20"/>
      <c r="CC263" s="20"/>
      <c r="CD263" s="20"/>
      <c r="CE263" s="20"/>
      <c r="CF263" s="20"/>
      <c r="CG263" s="96"/>
      <c r="CH263" s="20"/>
      <c r="CI263" s="20"/>
      <c r="CJ263" s="20"/>
      <c r="CK263" s="20"/>
      <c r="CL263" s="20"/>
      <c r="CM263" s="20"/>
      <c r="CN263" s="11"/>
      <c r="CO263" s="20"/>
      <c r="CP263" s="20"/>
      <c r="CQ263" s="20"/>
      <c r="CR263" s="20"/>
      <c r="CS263" s="20"/>
      <c r="CT263" s="20"/>
      <c r="CU263" s="20"/>
      <c r="CV263" s="20"/>
      <c r="CW263" s="20"/>
      <c r="CX263" s="96"/>
      <c r="CY263" s="112"/>
      <c r="CZ263" s="20"/>
      <c r="DA263" s="26"/>
      <c r="DB263" s="42"/>
      <c r="DC263" s="43"/>
      <c r="DD263" s="62"/>
      <c r="DE263" s="62"/>
      <c r="DF263" s="4"/>
      <c r="DG263" s="4"/>
      <c r="DH263" s="4"/>
      <c r="DI263" s="4"/>
      <c r="DJ263" s="62"/>
      <c r="DK263" s="62"/>
      <c r="DL263" s="209"/>
      <c r="DM263" s="62"/>
      <c r="DN263" s="13"/>
      <c r="DO263" s="13"/>
      <c r="DP263" s="68"/>
      <c r="DQ263" s="35"/>
      <c r="DR263" s="68"/>
      <c r="DS263" s="68"/>
      <c r="DT263" s="145"/>
      <c r="DU263" s="146"/>
      <c r="DV263" s="146"/>
      <c r="DW263" s="146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</row>
    <row r="264" spans="1:138" x14ac:dyDescent="0.2">
      <c r="A264" s="7"/>
      <c r="B264" s="200"/>
      <c r="C264" s="19"/>
      <c r="D264" s="19"/>
      <c r="E264" s="82"/>
      <c r="F264" s="82"/>
      <c r="G264" s="9"/>
      <c r="H264" s="93"/>
      <c r="I264" s="47"/>
      <c r="J264" s="94"/>
      <c r="K264" s="112"/>
      <c r="L264" s="112"/>
      <c r="M264" s="112"/>
      <c r="N264" s="112"/>
      <c r="O264" s="112"/>
      <c r="P264" s="112"/>
      <c r="Q264" s="112"/>
      <c r="R264" s="112"/>
      <c r="S264" s="112"/>
      <c r="T264" s="96"/>
      <c r="U264" s="112"/>
      <c r="V264" s="112"/>
      <c r="W264" s="112"/>
      <c r="X264" s="96"/>
      <c r="Y264" s="96"/>
      <c r="Z264" s="96"/>
      <c r="AA264" s="96"/>
      <c r="AB264" s="96"/>
      <c r="AC264" s="96"/>
      <c r="AD264" s="96"/>
      <c r="AE264" s="110"/>
      <c r="AF264" s="110"/>
      <c r="AG264" s="112"/>
      <c r="AH264" s="112"/>
      <c r="AI264" s="112"/>
      <c r="AJ264" s="112"/>
      <c r="AK264" s="112"/>
      <c r="AL264" s="112"/>
      <c r="AM264" s="112"/>
      <c r="AN264" s="255"/>
      <c r="AO264" s="251"/>
      <c r="AP264" s="112"/>
      <c r="AQ264" s="112"/>
      <c r="AR264" s="112"/>
      <c r="AS264" s="112"/>
      <c r="AT264" s="112"/>
      <c r="AU264" s="112"/>
      <c r="AV264" s="112"/>
      <c r="AW264" s="112"/>
      <c r="AX264" s="112"/>
      <c r="AY264" s="112"/>
      <c r="AZ264" s="96"/>
      <c r="BA264" s="11"/>
      <c r="BB264" s="11"/>
      <c r="BC264" s="96"/>
      <c r="BD264" s="112"/>
      <c r="BE264" s="96"/>
      <c r="BF264" s="112"/>
      <c r="BG264" s="112"/>
      <c r="BH264" s="112"/>
      <c r="BI264" s="112"/>
      <c r="BJ264" s="112"/>
      <c r="BK264" s="112"/>
      <c r="BL264" s="112"/>
      <c r="BM264" s="112"/>
      <c r="BN264" s="112"/>
      <c r="BO264" s="112"/>
      <c r="BP264" s="112"/>
      <c r="BQ264" s="112"/>
      <c r="BR264" s="112"/>
      <c r="BS264" s="96"/>
      <c r="BT264" s="96"/>
      <c r="BU264" s="112"/>
      <c r="BV264" s="112"/>
      <c r="BW264" s="112"/>
      <c r="BX264" s="20"/>
      <c r="BY264" s="112"/>
      <c r="BZ264" s="112"/>
      <c r="CA264" s="112"/>
      <c r="CB264" s="112"/>
      <c r="CC264" s="112"/>
      <c r="CD264" s="112"/>
      <c r="CE264" s="112"/>
      <c r="CF264" s="112"/>
      <c r="CG264" s="96"/>
      <c r="CH264" s="112"/>
      <c r="CI264" s="112"/>
      <c r="CJ264" s="112"/>
      <c r="CK264" s="112"/>
      <c r="CL264" s="112"/>
      <c r="CM264" s="112"/>
      <c r="CN264" s="96"/>
      <c r="CO264" s="112"/>
      <c r="CP264" s="112"/>
      <c r="CQ264" s="112"/>
      <c r="CR264" s="112"/>
      <c r="CS264" s="112"/>
      <c r="CT264" s="112"/>
      <c r="CU264" s="112"/>
      <c r="CV264" s="112"/>
      <c r="CW264" s="112"/>
      <c r="CX264" s="96"/>
      <c r="CY264" s="112"/>
      <c r="CZ264" s="112"/>
      <c r="DA264" s="26"/>
      <c r="DB264" s="42"/>
      <c r="DC264" s="43"/>
      <c r="DD264" s="62"/>
      <c r="DE264" s="62"/>
      <c r="DF264" s="4"/>
      <c r="DG264" s="4"/>
      <c r="DH264" s="4"/>
      <c r="DI264" s="4"/>
      <c r="DJ264" s="62"/>
      <c r="DK264" s="62"/>
      <c r="DL264" s="209"/>
      <c r="DM264" s="62"/>
      <c r="DN264" s="13"/>
      <c r="DO264" s="13"/>
      <c r="DP264" s="68"/>
      <c r="DQ264" s="35"/>
      <c r="DR264" s="68"/>
      <c r="DS264" s="68"/>
      <c r="DT264" s="145"/>
      <c r="DU264" s="146"/>
      <c r="DV264" s="146"/>
      <c r="DW264" s="146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</row>
    <row r="265" spans="1:138" x14ac:dyDescent="0.2">
      <c r="A265" s="7"/>
      <c r="B265" s="200"/>
      <c r="C265" s="19"/>
      <c r="D265" s="19"/>
      <c r="E265" s="82"/>
      <c r="F265" s="82"/>
      <c r="G265" s="9"/>
      <c r="H265" s="93"/>
      <c r="I265" s="47"/>
      <c r="J265" s="94"/>
      <c r="K265" s="112"/>
      <c r="L265" s="112"/>
      <c r="M265" s="112"/>
      <c r="N265" s="112"/>
      <c r="O265" s="112"/>
      <c r="P265" s="112"/>
      <c r="Q265" s="112"/>
      <c r="R265" s="112"/>
      <c r="S265" s="112"/>
      <c r="T265" s="96"/>
      <c r="U265" s="112"/>
      <c r="V265" s="112"/>
      <c r="W265" s="112"/>
      <c r="X265" s="96"/>
      <c r="Y265" s="96"/>
      <c r="Z265" s="96"/>
      <c r="AA265" s="96"/>
      <c r="AB265" s="96"/>
      <c r="AC265" s="96"/>
      <c r="AD265" s="96"/>
      <c r="AE265" s="110"/>
      <c r="AF265" s="110"/>
      <c r="AG265" s="112"/>
      <c r="AH265" s="112"/>
      <c r="AI265" s="112"/>
      <c r="AJ265" s="112"/>
      <c r="AK265" s="112"/>
      <c r="AL265" s="112"/>
      <c r="AM265" s="112"/>
      <c r="AN265" s="255"/>
      <c r="AO265" s="251"/>
      <c r="AP265" s="112"/>
      <c r="AQ265" s="112"/>
      <c r="AR265" s="112"/>
      <c r="AS265" s="112"/>
      <c r="AT265" s="112"/>
      <c r="AU265" s="112"/>
      <c r="AV265" s="112"/>
      <c r="AW265" s="112"/>
      <c r="AX265" s="112"/>
      <c r="AY265" s="112"/>
      <c r="AZ265" s="96"/>
      <c r="BA265" s="11"/>
      <c r="BB265" s="11"/>
      <c r="BC265" s="96"/>
      <c r="BD265" s="112"/>
      <c r="BE265" s="96"/>
      <c r="BF265" s="112"/>
      <c r="BG265" s="112"/>
      <c r="BH265" s="112"/>
      <c r="BI265" s="112"/>
      <c r="BJ265" s="112"/>
      <c r="BK265" s="112"/>
      <c r="BL265" s="112"/>
      <c r="BM265" s="112"/>
      <c r="BN265" s="112"/>
      <c r="BO265" s="112"/>
      <c r="BP265" s="112"/>
      <c r="BQ265" s="112"/>
      <c r="BR265" s="112"/>
      <c r="BS265" s="96"/>
      <c r="BT265" s="96"/>
      <c r="BU265" s="112"/>
      <c r="BV265" s="112"/>
      <c r="BW265" s="112"/>
      <c r="BX265" s="112"/>
      <c r="BY265" s="112"/>
      <c r="BZ265" s="112"/>
      <c r="CA265" s="112"/>
      <c r="CB265" s="112"/>
      <c r="CC265" s="112"/>
      <c r="CD265" s="112"/>
      <c r="CE265" s="112"/>
      <c r="CF265" s="112"/>
      <c r="CG265" s="96"/>
      <c r="CH265" s="112"/>
      <c r="CI265" s="112"/>
      <c r="CJ265" s="112"/>
      <c r="CK265" s="112"/>
      <c r="CL265" s="112"/>
      <c r="CM265" s="112"/>
      <c r="CN265" s="96"/>
      <c r="CO265" s="112"/>
      <c r="CP265" s="112"/>
      <c r="CQ265" s="112"/>
      <c r="CR265" s="112"/>
      <c r="CS265" s="112"/>
      <c r="CT265" s="112"/>
      <c r="CU265" s="112"/>
      <c r="CV265" s="112"/>
      <c r="CW265" s="112"/>
      <c r="CX265" s="96"/>
      <c r="CY265" s="112"/>
      <c r="CZ265" s="112"/>
      <c r="DA265" s="26"/>
      <c r="DB265" s="42"/>
      <c r="DC265" s="43"/>
      <c r="DD265" s="62"/>
      <c r="DE265" s="62"/>
      <c r="DF265" s="4"/>
      <c r="DG265" s="4"/>
      <c r="DH265" s="4"/>
      <c r="DI265" s="4"/>
      <c r="DJ265" s="62"/>
      <c r="DK265" s="62"/>
      <c r="DL265" s="209"/>
      <c r="DM265" s="62"/>
      <c r="DN265" s="13"/>
      <c r="DO265" s="13"/>
      <c r="DP265" s="68"/>
      <c r="DQ265" s="35"/>
      <c r="DR265" s="68"/>
      <c r="DS265" s="68"/>
      <c r="DT265" s="145"/>
      <c r="DU265" s="146"/>
      <c r="DV265" s="146"/>
      <c r="DW265" s="146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</row>
    <row r="266" spans="1:138" x14ac:dyDescent="0.2">
      <c r="A266" s="7"/>
      <c r="B266" s="189"/>
      <c r="C266" s="19"/>
      <c r="D266" s="19"/>
      <c r="E266" s="82"/>
      <c r="F266" s="82"/>
      <c r="G266" s="9"/>
      <c r="H266" s="93"/>
      <c r="I266" s="47"/>
      <c r="J266" s="94"/>
      <c r="K266" s="112"/>
      <c r="L266" s="112"/>
      <c r="M266" s="112"/>
      <c r="N266" s="112"/>
      <c r="O266" s="112"/>
      <c r="P266" s="112"/>
      <c r="Q266" s="112"/>
      <c r="R266" s="112"/>
      <c r="S266" s="112"/>
      <c r="T266" s="96"/>
      <c r="U266" s="112"/>
      <c r="V266" s="112"/>
      <c r="W266" s="112"/>
      <c r="X266" s="96"/>
      <c r="Y266" s="96"/>
      <c r="Z266" s="96"/>
      <c r="AA266" s="96"/>
      <c r="AB266" s="96"/>
      <c r="AC266" s="96"/>
      <c r="AD266" s="96"/>
      <c r="AE266" s="110"/>
      <c r="AF266" s="110"/>
      <c r="AG266" s="112"/>
      <c r="AH266" s="112"/>
      <c r="AI266" s="112"/>
      <c r="AJ266" s="112"/>
      <c r="AK266" s="112"/>
      <c r="AL266" s="112"/>
      <c r="AM266" s="112"/>
      <c r="AN266" s="255"/>
      <c r="AO266" s="251"/>
      <c r="AP266" s="112"/>
      <c r="AQ266" s="112"/>
      <c r="AR266" s="112"/>
      <c r="AS266" s="112"/>
      <c r="AT266" s="112"/>
      <c r="AU266" s="112"/>
      <c r="AV266" s="112"/>
      <c r="AW266" s="112"/>
      <c r="AX266" s="112"/>
      <c r="AY266" s="96"/>
      <c r="AZ266" s="96"/>
      <c r="BA266" s="11"/>
      <c r="BB266" s="11"/>
      <c r="BC266" s="96"/>
      <c r="BD266" s="20"/>
      <c r="BE266" s="96"/>
      <c r="BF266" s="20"/>
      <c r="BG266" s="112"/>
      <c r="BH266" s="112"/>
      <c r="BI266" s="112"/>
      <c r="BJ266" s="112"/>
      <c r="BK266" s="112"/>
      <c r="BL266" s="20"/>
      <c r="BM266" s="20"/>
      <c r="BN266" s="20"/>
      <c r="BO266" s="112"/>
      <c r="BP266" s="20"/>
      <c r="BQ266" s="112"/>
      <c r="BR266" s="112"/>
      <c r="BS266" s="11"/>
      <c r="BT266" s="96"/>
      <c r="BU266" s="112"/>
      <c r="BV266" s="112"/>
      <c r="BW266" s="112"/>
      <c r="BX266" s="112"/>
      <c r="BY266" s="112"/>
      <c r="BZ266" s="112"/>
      <c r="CA266" s="112"/>
      <c r="CB266" s="20"/>
      <c r="CC266" s="112"/>
      <c r="CD266" s="20"/>
      <c r="CE266" s="112"/>
      <c r="CF266" s="20"/>
      <c r="CG266" s="96"/>
      <c r="CH266" s="112"/>
      <c r="CI266" s="20"/>
      <c r="CJ266" s="112"/>
      <c r="CK266" s="112"/>
      <c r="CL266" s="20"/>
      <c r="CM266" s="20"/>
      <c r="CN266" s="96"/>
      <c r="CO266" s="112"/>
      <c r="CP266" s="112"/>
      <c r="CQ266" s="112"/>
      <c r="CR266" s="112"/>
      <c r="CS266" s="112"/>
      <c r="CT266" s="112"/>
      <c r="CU266" s="20"/>
      <c r="CV266" s="20"/>
      <c r="CW266" s="20"/>
      <c r="CX266" s="96"/>
      <c r="CY266" s="112"/>
      <c r="CZ266" s="112"/>
      <c r="DA266" s="26"/>
      <c r="DB266" s="42"/>
      <c r="DC266" s="43"/>
      <c r="DD266" s="62"/>
      <c r="DE266" s="62"/>
      <c r="DF266" s="4"/>
      <c r="DG266" s="4"/>
      <c r="DH266" s="4"/>
      <c r="DI266" s="4"/>
      <c r="DJ266" s="62"/>
      <c r="DK266" s="62"/>
      <c r="DL266" s="209"/>
      <c r="DM266" s="62"/>
      <c r="DN266" s="13"/>
      <c r="DO266" s="13"/>
      <c r="DP266" s="68"/>
      <c r="DQ266" s="35"/>
      <c r="DR266" s="68"/>
      <c r="DS266" s="68"/>
      <c r="DT266" s="145"/>
      <c r="DU266" s="146"/>
      <c r="DV266" s="146"/>
      <c r="DW266" s="146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</row>
    <row r="267" spans="1:138" x14ac:dyDescent="0.2">
      <c r="A267" s="7"/>
      <c r="B267" s="189"/>
      <c r="C267" s="19"/>
      <c r="D267" s="19"/>
      <c r="E267" s="82"/>
      <c r="F267" s="82"/>
      <c r="G267" s="9"/>
      <c r="H267" s="93"/>
      <c r="I267" s="47"/>
      <c r="J267" s="94"/>
      <c r="K267" s="112"/>
      <c r="L267" s="112"/>
      <c r="M267" s="112"/>
      <c r="N267" s="112"/>
      <c r="O267" s="112"/>
      <c r="P267" s="112"/>
      <c r="Q267" s="112"/>
      <c r="R267" s="112"/>
      <c r="S267" s="112"/>
      <c r="T267" s="96"/>
      <c r="U267" s="112"/>
      <c r="V267" s="112"/>
      <c r="W267" s="112"/>
      <c r="X267" s="96"/>
      <c r="Y267" s="96"/>
      <c r="Z267" s="96"/>
      <c r="AA267" s="96"/>
      <c r="AB267" s="96"/>
      <c r="AC267" s="96"/>
      <c r="AD267" s="96"/>
      <c r="AE267" s="110"/>
      <c r="AF267" s="110"/>
      <c r="AG267" s="112"/>
      <c r="AH267" s="112"/>
      <c r="AI267" s="112"/>
      <c r="AJ267" s="112"/>
      <c r="AK267" s="112"/>
      <c r="AL267" s="112"/>
      <c r="AM267" s="112"/>
      <c r="AN267" s="255"/>
      <c r="AO267" s="251"/>
      <c r="AP267" s="112"/>
      <c r="AQ267" s="112"/>
      <c r="AR267" s="112"/>
      <c r="AS267" s="112"/>
      <c r="AT267" s="112"/>
      <c r="AU267" s="112"/>
      <c r="AV267" s="112"/>
      <c r="AW267" s="112"/>
      <c r="AX267" s="112"/>
      <c r="AY267" s="112"/>
      <c r="AZ267" s="96"/>
      <c r="BA267" s="11"/>
      <c r="BB267" s="11"/>
      <c r="BC267" s="96"/>
      <c r="BD267" s="112"/>
      <c r="BE267" s="96"/>
      <c r="BF267" s="112"/>
      <c r="BG267" s="112"/>
      <c r="BH267" s="112"/>
      <c r="BI267" s="112"/>
      <c r="BJ267" s="112"/>
      <c r="BK267" s="112"/>
      <c r="BL267" s="112"/>
      <c r="BM267" s="112"/>
      <c r="BN267" s="112"/>
      <c r="BO267" s="112"/>
      <c r="BP267" s="112"/>
      <c r="BQ267" s="112"/>
      <c r="BR267" s="112"/>
      <c r="BS267" s="96"/>
      <c r="BT267" s="96"/>
      <c r="BU267" s="112"/>
      <c r="BV267" s="112"/>
      <c r="BW267" s="112"/>
      <c r="BX267" s="112"/>
      <c r="BY267" s="112"/>
      <c r="BZ267" s="112"/>
      <c r="CA267" s="112"/>
      <c r="CB267" s="112"/>
      <c r="CC267" s="112"/>
      <c r="CD267" s="112"/>
      <c r="CE267" s="112"/>
      <c r="CF267" s="112"/>
      <c r="CG267" s="96"/>
      <c r="CH267" s="112"/>
      <c r="CI267" s="112"/>
      <c r="CJ267" s="112"/>
      <c r="CK267" s="112"/>
      <c r="CL267" s="112"/>
      <c r="CM267" s="112"/>
      <c r="CN267" s="96"/>
      <c r="CO267" s="112"/>
      <c r="CP267" s="112"/>
      <c r="CQ267" s="112"/>
      <c r="CR267" s="112"/>
      <c r="CS267" s="112"/>
      <c r="CT267" s="112"/>
      <c r="CU267" s="112"/>
      <c r="CV267" s="112"/>
      <c r="CW267" s="112"/>
      <c r="CX267" s="96"/>
      <c r="CY267" s="112"/>
      <c r="CZ267" s="112"/>
      <c r="DA267" s="26"/>
      <c r="DB267" s="42"/>
      <c r="DC267" s="43"/>
      <c r="DD267" s="62"/>
      <c r="DE267" s="62"/>
      <c r="DF267" s="4"/>
      <c r="DG267" s="4"/>
      <c r="DH267" s="4"/>
      <c r="DI267" s="4"/>
      <c r="DJ267" s="62"/>
      <c r="DK267" s="62"/>
      <c r="DL267" s="209"/>
      <c r="DM267" s="62"/>
      <c r="DN267" s="13"/>
      <c r="DO267" s="13"/>
      <c r="DP267" s="68"/>
      <c r="DQ267" s="35"/>
      <c r="DR267" s="68"/>
      <c r="DS267" s="68"/>
      <c r="DT267" s="145"/>
      <c r="DU267" s="146"/>
      <c r="DV267" s="146"/>
      <c r="DW267" s="146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</row>
    <row r="268" spans="1:138" x14ac:dyDescent="0.2">
      <c r="A268" s="7"/>
      <c r="B268" s="148"/>
      <c r="C268" s="19"/>
      <c r="D268" s="19"/>
      <c r="E268" s="82"/>
      <c r="F268" s="82"/>
      <c r="G268" s="9"/>
      <c r="H268" s="93"/>
      <c r="I268" s="47"/>
      <c r="J268" s="94"/>
      <c r="K268" s="20"/>
      <c r="L268" s="20"/>
      <c r="M268" s="20"/>
      <c r="N268" s="20"/>
      <c r="O268" s="20"/>
      <c r="P268" s="20"/>
      <c r="Q268" s="20"/>
      <c r="R268" s="20"/>
      <c r="S268" s="20"/>
      <c r="T268" s="96"/>
      <c r="U268" s="20"/>
      <c r="V268" s="20"/>
      <c r="W268" s="20"/>
      <c r="X268" s="96"/>
      <c r="Y268" s="96"/>
      <c r="Z268" s="96"/>
      <c r="AA268" s="96"/>
      <c r="AB268" s="96"/>
      <c r="AC268" s="96"/>
      <c r="AD268" s="96"/>
      <c r="AE268" s="110"/>
      <c r="AF268" s="110"/>
      <c r="AG268" s="20"/>
      <c r="AH268" s="20"/>
      <c r="AI268" s="20"/>
      <c r="AJ268" s="20"/>
      <c r="AK268" s="20"/>
      <c r="AL268" s="20"/>
      <c r="AM268" s="20"/>
      <c r="AN268" s="254"/>
      <c r="AO268" s="251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96"/>
      <c r="BA268" s="11"/>
      <c r="BB268" s="96"/>
      <c r="BC268" s="96"/>
      <c r="BD268" s="20"/>
      <c r="BE268" s="96"/>
      <c r="BF268" s="20"/>
      <c r="BG268" s="20"/>
      <c r="BH268" s="20"/>
      <c r="BI268" s="20"/>
      <c r="BJ268" s="20"/>
      <c r="BK268" s="20"/>
      <c r="BL268" s="20"/>
      <c r="BM268" s="20"/>
      <c r="BN268" s="112"/>
      <c r="BO268" s="20"/>
      <c r="BP268" s="20"/>
      <c r="BQ268" s="20"/>
      <c r="BR268" s="20"/>
      <c r="BS268" s="11"/>
      <c r="BT268" s="11"/>
      <c r="BU268" s="112"/>
      <c r="BV268" s="112"/>
      <c r="BW268" s="112"/>
      <c r="BX268" s="11"/>
      <c r="BY268" s="20"/>
      <c r="BZ268" s="20"/>
      <c r="CA268" s="20"/>
      <c r="CB268" s="20"/>
      <c r="CC268" s="20"/>
      <c r="CD268" s="20"/>
      <c r="CE268" s="20"/>
      <c r="CF268" s="20"/>
      <c r="CG268" s="96"/>
      <c r="CH268" s="20"/>
      <c r="CI268" s="20"/>
      <c r="CJ268" s="20"/>
      <c r="CK268" s="20"/>
      <c r="CL268" s="20"/>
      <c r="CM268" s="20"/>
      <c r="CN268" s="11"/>
      <c r="CO268" s="20"/>
      <c r="CP268" s="20"/>
      <c r="CQ268" s="20"/>
      <c r="CR268" s="20"/>
      <c r="CS268" s="20"/>
      <c r="CT268" s="20"/>
      <c r="CU268" s="20"/>
      <c r="CV268" s="20"/>
      <c r="CW268" s="20"/>
      <c r="CX268" s="96"/>
      <c r="CY268" s="112"/>
      <c r="CZ268" s="20"/>
      <c r="DA268" s="26"/>
      <c r="DB268" s="53"/>
      <c r="DC268" s="68"/>
      <c r="DD268" s="62"/>
      <c r="DE268" s="209"/>
      <c r="DF268" s="115"/>
      <c r="DG268" s="4"/>
      <c r="DH268" s="115"/>
      <c r="DI268" s="115"/>
      <c r="DJ268" s="62"/>
      <c r="DK268" s="62"/>
      <c r="DL268" s="209"/>
      <c r="DM268" s="62"/>
      <c r="DN268" s="13"/>
      <c r="DO268" s="13"/>
      <c r="DP268" s="68"/>
      <c r="DQ268" s="35"/>
      <c r="DR268" s="68"/>
      <c r="DS268" s="68"/>
      <c r="DT268" s="145"/>
      <c r="DU268" s="146"/>
      <c r="DV268" s="146"/>
      <c r="DW268" s="146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</row>
    <row r="269" spans="1:138" x14ac:dyDescent="0.2">
      <c r="A269" s="7"/>
      <c r="B269" s="200"/>
      <c r="C269" s="19"/>
      <c r="D269" s="19"/>
      <c r="E269" s="82"/>
      <c r="F269" s="82"/>
      <c r="G269" s="9"/>
      <c r="H269" s="93"/>
      <c r="I269" s="47"/>
      <c r="J269" s="94"/>
      <c r="K269" s="112"/>
      <c r="L269" s="112"/>
      <c r="M269" s="112"/>
      <c r="N269" s="112"/>
      <c r="O269" s="112"/>
      <c r="P269" s="112"/>
      <c r="Q269" s="112"/>
      <c r="R269" s="112"/>
      <c r="S269" s="112"/>
      <c r="T269" s="96"/>
      <c r="U269" s="112"/>
      <c r="V269" s="112"/>
      <c r="W269" s="112"/>
      <c r="X269" s="96"/>
      <c r="Y269" s="96"/>
      <c r="Z269" s="96"/>
      <c r="AA269" s="96"/>
      <c r="AB269" s="96"/>
      <c r="AC269" s="96"/>
      <c r="AD269" s="96"/>
      <c r="AE269" s="110"/>
      <c r="AF269" s="110"/>
      <c r="AG269" s="112"/>
      <c r="AH269" s="112"/>
      <c r="AI269" s="112"/>
      <c r="AJ269" s="112"/>
      <c r="AK269" s="112"/>
      <c r="AL269" s="112"/>
      <c r="AM269" s="112"/>
      <c r="AN269" s="255"/>
      <c r="AO269" s="251"/>
      <c r="AP269" s="112"/>
      <c r="AQ269" s="112"/>
      <c r="AR269" s="112"/>
      <c r="AS269" s="112"/>
      <c r="AT269" s="112"/>
      <c r="AU269" s="112"/>
      <c r="AV269" s="112"/>
      <c r="AW269" s="112"/>
      <c r="AX269" s="112"/>
      <c r="AY269" s="112"/>
      <c r="AZ269" s="96"/>
      <c r="BA269" s="11"/>
      <c r="BB269" s="11"/>
      <c r="BC269" s="96"/>
      <c r="BD269" s="112"/>
      <c r="BE269" s="96"/>
      <c r="BF269" s="112"/>
      <c r="BG269" s="112"/>
      <c r="BH269" s="112"/>
      <c r="BI269" s="112"/>
      <c r="BJ269" s="112"/>
      <c r="BK269" s="112"/>
      <c r="BL269" s="112"/>
      <c r="BM269" s="112"/>
      <c r="BN269" s="112"/>
      <c r="BO269" s="112"/>
      <c r="BP269" s="112"/>
      <c r="BQ269" s="112"/>
      <c r="BR269" s="112"/>
      <c r="BS269" s="96"/>
      <c r="BT269" s="96"/>
      <c r="BU269" s="112"/>
      <c r="BV269" s="112"/>
      <c r="BW269" s="112"/>
      <c r="BX269" s="96"/>
      <c r="BY269" s="112"/>
      <c r="BZ269" s="112"/>
      <c r="CA269" s="112"/>
      <c r="CB269" s="96"/>
      <c r="CC269" s="112"/>
      <c r="CD269" s="96"/>
      <c r="CE269" s="112"/>
      <c r="CF269" s="96"/>
      <c r="CG269" s="96"/>
      <c r="CH269" s="112"/>
      <c r="CI269" s="112"/>
      <c r="CJ269" s="112"/>
      <c r="CK269" s="112"/>
      <c r="CL269" s="112"/>
      <c r="CM269" s="112"/>
      <c r="CN269" s="96"/>
      <c r="CO269" s="112"/>
      <c r="CP269" s="112"/>
      <c r="CQ269" s="112"/>
      <c r="CR269" s="112"/>
      <c r="CS269" s="112"/>
      <c r="CT269" s="112"/>
      <c r="CU269" s="112"/>
      <c r="CV269" s="112"/>
      <c r="CW269" s="112"/>
      <c r="CX269" s="96"/>
      <c r="CY269" s="112"/>
      <c r="CZ269" s="112"/>
      <c r="DA269" s="26"/>
      <c r="DB269" s="42"/>
      <c r="DC269" s="43"/>
      <c r="DD269" s="62"/>
      <c r="DE269" s="62"/>
      <c r="DF269" s="4"/>
      <c r="DG269" s="4"/>
      <c r="DH269" s="4"/>
      <c r="DI269" s="4"/>
      <c r="DJ269" s="62"/>
      <c r="DK269" s="62"/>
      <c r="DL269" s="209"/>
      <c r="DM269" s="62"/>
      <c r="DN269" s="13"/>
      <c r="DO269" s="13"/>
      <c r="DP269" s="68"/>
      <c r="DQ269" s="35"/>
      <c r="DR269" s="68"/>
      <c r="DS269" s="68"/>
      <c r="DT269" s="145"/>
      <c r="DU269" s="146"/>
      <c r="DV269" s="146"/>
      <c r="DW269" s="146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</row>
    <row r="270" spans="1:138" x14ac:dyDescent="0.2">
      <c r="A270" s="7"/>
      <c r="B270" s="148"/>
      <c r="C270" s="19"/>
      <c r="D270" s="19"/>
      <c r="E270" s="82"/>
      <c r="F270" s="82"/>
      <c r="G270" s="9"/>
      <c r="H270" s="93"/>
      <c r="I270" s="47"/>
      <c r="J270" s="94"/>
      <c r="K270" s="20"/>
      <c r="L270" s="20"/>
      <c r="M270" s="20"/>
      <c r="N270" s="20"/>
      <c r="O270" s="20"/>
      <c r="P270" s="20"/>
      <c r="Q270" s="20"/>
      <c r="R270" s="20"/>
      <c r="S270" s="20"/>
      <c r="T270" s="96"/>
      <c r="U270" s="20"/>
      <c r="V270" s="20"/>
      <c r="W270" s="20"/>
      <c r="X270" s="96"/>
      <c r="Y270" s="96"/>
      <c r="Z270" s="96"/>
      <c r="AA270" s="96"/>
      <c r="AB270" s="96"/>
      <c r="AC270" s="96"/>
      <c r="AD270" s="96"/>
      <c r="AE270" s="110"/>
      <c r="AF270" s="110"/>
      <c r="AG270" s="20"/>
      <c r="AH270" s="20"/>
      <c r="AI270" s="20"/>
      <c r="AJ270" s="20"/>
      <c r="AK270" s="20"/>
      <c r="AL270" s="20"/>
      <c r="AM270" s="20"/>
      <c r="AN270" s="254"/>
      <c r="AO270" s="251"/>
      <c r="AP270" s="112"/>
      <c r="AQ270" s="20"/>
      <c r="AR270" s="112"/>
      <c r="AS270" s="20"/>
      <c r="AT270" s="112"/>
      <c r="AU270" s="20"/>
      <c r="AV270" s="20"/>
      <c r="AW270" s="20"/>
      <c r="AX270" s="20"/>
      <c r="AY270" s="20"/>
      <c r="AZ270" s="96"/>
      <c r="BA270" s="11"/>
      <c r="BB270" s="11"/>
      <c r="BC270" s="96"/>
      <c r="BD270" s="20"/>
      <c r="BE270" s="96"/>
      <c r="BF270" s="20"/>
      <c r="BG270" s="20"/>
      <c r="BH270" s="20"/>
      <c r="BI270" s="20"/>
      <c r="BJ270" s="20"/>
      <c r="BK270" s="20"/>
      <c r="BL270" s="20"/>
      <c r="BM270" s="20"/>
      <c r="BN270" s="112"/>
      <c r="BO270" s="20"/>
      <c r="BP270" s="20"/>
      <c r="BQ270" s="20"/>
      <c r="BR270" s="20"/>
      <c r="BS270" s="11"/>
      <c r="BT270" s="11"/>
      <c r="BU270" s="112"/>
      <c r="BV270" s="112"/>
      <c r="BW270" s="112"/>
      <c r="BX270" s="11"/>
      <c r="BY270" s="20"/>
      <c r="BZ270" s="20"/>
      <c r="CA270" s="20"/>
      <c r="CB270" s="11"/>
      <c r="CC270" s="20"/>
      <c r="CD270" s="11"/>
      <c r="CE270" s="20"/>
      <c r="CF270" s="11"/>
      <c r="CG270" s="96"/>
      <c r="CH270" s="20"/>
      <c r="CI270" s="20"/>
      <c r="CJ270" s="20"/>
      <c r="CK270" s="20"/>
      <c r="CL270" s="20"/>
      <c r="CM270" s="20"/>
      <c r="CN270" s="11"/>
      <c r="CO270" s="20"/>
      <c r="CP270" s="20"/>
      <c r="CQ270" s="20"/>
      <c r="CR270" s="20"/>
      <c r="CS270" s="20"/>
      <c r="CT270" s="20"/>
      <c r="CU270" s="20"/>
      <c r="CV270" s="20"/>
      <c r="CW270" s="20"/>
      <c r="CX270" s="96"/>
      <c r="CY270" s="112"/>
      <c r="CZ270" s="20"/>
      <c r="DA270" s="26"/>
      <c r="DB270" s="42"/>
      <c r="DC270" s="43"/>
      <c r="DD270" s="62"/>
      <c r="DE270" s="62"/>
      <c r="DF270" s="4"/>
      <c r="DG270" s="4"/>
      <c r="DH270" s="4"/>
      <c r="DI270" s="4"/>
      <c r="DJ270" s="62"/>
      <c r="DK270" s="62"/>
      <c r="DL270" s="209"/>
      <c r="DM270" s="62"/>
      <c r="DN270" s="13"/>
      <c r="DO270" s="13"/>
      <c r="DP270" s="68"/>
      <c r="DQ270" s="35"/>
      <c r="DR270" s="68"/>
      <c r="DS270" s="68"/>
      <c r="DT270" s="145"/>
      <c r="DU270" s="146"/>
      <c r="DV270" s="146"/>
      <c r="DW270" s="146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</row>
    <row r="271" spans="1:138" x14ac:dyDescent="0.2">
      <c r="A271" s="7"/>
      <c r="B271" s="148"/>
      <c r="C271" s="19"/>
      <c r="D271" s="19"/>
      <c r="E271" s="82"/>
      <c r="F271" s="82"/>
      <c r="G271" s="9"/>
      <c r="H271" s="93"/>
      <c r="I271" s="47"/>
      <c r="J271" s="94"/>
      <c r="K271" s="20"/>
      <c r="L271" s="20"/>
      <c r="M271" s="20"/>
      <c r="N271" s="20"/>
      <c r="O271" s="20"/>
      <c r="P271" s="20"/>
      <c r="Q271" s="20"/>
      <c r="R271" s="20"/>
      <c r="S271" s="20"/>
      <c r="T271" s="96"/>
      <c r="U271" s="20"/>
      <c r="V271" s="11"/>
      <c r="W271" s="20"/>
      <c r="X271" s="96"/>
      <c r="Y271" s="96"/>
      <c r="Z271" s="96"/>
      <c r="AA271" s="96"/>
      <c r="AB271" s="96"/>
      <c r="AC271" s="96"/>
      <c r="AD271" s="96"/>
      <c r="AE271" s="110"/>
      <c r="AF271" s="110"/>
      <c r="AG271" s="20"/>
      <c r="AH271" s="20"/>
      <c r="AI271" s="20"/>
      <c r="AJ271" s="20"/>
      <c r="AK271" s="20"/>
      <c r="AL271" s="20"/>
      <c r="AM271" s="20"/>
      <c r="AN271" s="254"/>
      <c r="AO271" s="251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96"/>
      <c r="BA271" s="11"/>
      <c r="BB271" s="11"/>
      <c r="BC271" s="96"/>
      <c r="BD271" s="20"/>
      <c r="BE271" s="96"/>
      <c r="BF271" s="20"/>
      <c r="BG271" s="20"/>
      <c r="BH271" s="20"/>
      <c r="BI271" s="20"/>
      <c r="BJ271" s="20"/>
      <c r="BK271" s="20"/>
      <c r="BL271" s="20"/>
      <c r="BM271" s="20"/>
      <c r="BN271" s="112"/>
      <c r="BO271" s="20"/>
      <c r="BP271" s="20"/>
      <c r="BQ271" s="20"/>
      <c r="BR271" s="20"/>
      <c r="BS271" s="11"/>
      <c r="BT271" s="11"/>
      <c r="BU271" s="112"/>
      <c r="BV271" s="112"/>
      <c r="BW271" s="112"/>
      <c r="BX271" s="11"/>
      <c r="BY271" s="20"/>
      <c r="BZ271" s="20"/>
      <c r="CA271" s="20"/>
      <c r="CB271" s="11"/>
      <c r="CC271" s="20"/>
      <c r="CD271" s="11"/>
      <c r="CE271" s="20"/>
      <c r="CF271" s="11"/>
      <c r="CG271" s="96"/>
      <c r="CH271" s="20"/>
      <c r="CI271" s="20"/>
      <c r="CJ271" s="20"/>
      <c r="CK271" s="20"/>
      <c r="CL271" s="20"/>
      <c r="CM271" s="20"/>
      <c r="CN271" s="11"/>
      <c r="CO271" s="20"/>
      <c r="CP271" s="20"/>
      <c r="CQ271" s="20"/>
      <c r="CR271" s="20"/>
      <c r="CS271" s="20"/>
      <c r="CT271" s="20"/>
      <c r="CU271" s="20"/>
      <c r="CV271" s="20"/>
      <c r="CW271" s="20"/>
      <c r="CX271" s="96"/>
      <c r="CY271" s="112"/>
      <c r="CZ271" s="20"/>
      <c r="DA271" s="26"/>
      <c r="DB271" s="42"/>
      <c r="DC271" s="43"/>
      <c r="DD271" s="62"/>
      <c r="DE271" s="62"/>
      <c r="DF271" s="4"/>
      <c r="DG271" s="4"/>
      <c r="DH271" s="4"/>
      <c r="DI271" s="4"/>
      <c r="DJ271" s="62"/>
      <c r="DK271" s="62"/>
      <c r="DL271" s="209"/>
      <c r="DM271" s="62"/>
      <c r="DN271" s="13"/>
      <c r="DO271" s="13"/>
      <c r="DP271" s="68"/>
      <c r="DQ271" s="35"/>
      <c r="DR271" s="68"/>
      <c r="DS271" s="68"/>
      <c r="DT271" s="145"/>
      <c r="DU271" s="146"/>
      <c r="DV271" s="146"/>
      <c r="DW271" s="146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</row>
    <row r="272" spans="1:138" x14ac:dyDescent="0.2">
      <c r="A272" s="7"/>
      <c r="B272" s="148"/>
      <c r="C272" s="19"/>
      <c r="D272" s="19"/>
      <c r="E272" s="82"/>
      <c r="F272" s="82"/>
      <c r="G272" s="9"/>
      <c r="H272" s="93"/>
      <c r="I272" s="47"/>
      <c r="J272" s="94"/>
      <c r="K272" s="20"/>
      <c r="L272" s="20"/>
      <c r="M272" s="20"/>
      <c r="N272" s="20"/>
      <c r="O272" s="20"/>
      <c r="P272" s="20"/>
      <c r="Q272" s="20"/>
      <c r="R272" s="20"/>
      <c r="S272" s="20"/>
      <c r="T272" s="96"/>
      <c r="U272" s="20"/>
      <c r="V272" s="11"/>
      <c r="W272" s="20"/>
      <c r="X272" s="96"/>
      <c r="Y272" s="96"/>
      <c r="Z272" s="96"/>
      <c r="AA272" s="96"/>
      <c r="AB272" s="96"/>
      <c r="AC272" s="96"/>
      <c r="AD272" s="96"/>
      <c r="AE272" s="110"/>
      <c r="AF272" s="110"/>
      <c r="AG272" s="20"/>
      <c r="AH272" s="20"/>
      <c r="AI272" s="20"/>
      <c r="AJ272" s="20"/>
      <c r="AK272" s="20"/>
      <c r="AL272" s="20"/>
      <c r="AM272" s="20"/>
      <c r="AN272" s="254"/>
      <c r="AO272" s="251"/>
      <c r="AP272" s="11"/>
      <c r="AQ272" s="20"/>
      <c r="AR272" s="11"/>
      <c r="AS272" s="20"/>
      <c r="AT272" s="11"/>
      <c r="AU272" s="20"/>
      <c r="AV272" s="20"/>
      <c r="AW272" s="20"/>
      <c r="AX272" s="20"/>
      <c r="AY272" s="112"/>
      <c r="AZ272" s="96"/>
      <c r="BA272" s="11"/>
      <c r="BB272" s="11"/>
      <c r="BC272" s="96"/>
      <c r="BD272" s="20"/>
      <c r="BE272" s="96"/>
      <c r="BF272" s="20"/>
      <c r="BG272" s="20"/>
      <c r="BH272" s="20"/>
      <c r="BI272" s="20"/>
      <c r="BJ272" s="20"/>
      <c r="BK272" s="20"/>
      <c r="BL272" s="20"/>
      <c r="BM272" s="20"/>
      <c r="BN272" s="112"/>
      <c r="BO272" s="20"/>
      <c r="BP272" s="20"/>
      <c r="BQ272" s="20"/>
      <c r="BR272" s="20"/>
      <c r="BS272" s="11"/>
      <c r="BT272" s="11"/>
      <c r="BU272" s="112"/>
      <c r="BV272" s="20"/>
      <c r="BW272" s="112"/>
      <c r="BX272" s="11"/>
      <c r="BY272" s="20"/>
      <c r="BZ272" s="20"/>
      <c r="CA272" s="20"/>
      <c r="CB272" s="11"/>
      <c r="CC272" s="20"/>
      <c r="CD272" s="11"/>
      <c r="CE272" s="20"/>
      <c r="CF272" s="11"/>
      <c r="CG272" s="96"/>
      <c r="CH272" s="20"/>
      <c r="CI272" s="20"/>
      <c r="CJ272" s="20"/>
      <c r="CK272" s="20"/>
      <c r="CL272" s="20"/>
      <c r="CM272" s="20"/>
      <c r="CN272" s="11"/>
      <c r="CO272" s="20"/>
      <c r="CP272" s="20"/>
      <c r="CQ272" s="20"/>
      <c r="CR272" s="20"/>
      <c r="CS272" s="20"/>
      <c r="CT272" s="20"/>
      <c r="CU272" s="20"/>
      <c r="CV272" s="20"/>
      <c r="CW272" s="20"/>
      <c r="CX272" s="96"/>
      <c r="CY272" s="112"/>
      <c r="CZ272" s="20"/>
      <c r="DA272" s="26"/>
      <c r="DB272" s="42"/>
      <c r="DC272" s="43"/>
      <c r="DD272" s="62"/>
      <c r="DE272" s="62"/>
      <c r="DF272" s="4"/>
      <c r="DG272" s="4"/>
      <c r="DH272" s="4"/>
      <c r="DI272" s="4"/>
      <c r="DJ272" s="62"/>
      <c r="DK272" s="62"/>
      <c r="DL272" s="209"/>
      <c r="DM272" s="62"/>
      <c r="DN272" s="13"/>
      <c r="DO272" s="13"/>
      <c r="DP272" s="68"/>
      <c r="DQ272" s="35"/>
      <c r="DR272" s="68"/>
      <c r="DS272" s="68"/>
      <c r="DT272" s="145"/>
      <c r="DU272" s="146"/>
      <c r="DV272" s="146"/>
      <c r="DW272" s="146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</row>
    <row r="273" spans="1:138" x14ac:dyDescent="0.2">
      <c r="A273" s="7"/>
      <c r="B273" s="200"/>
      <c r="C273" s="19"/>
      <c r="D273" s="19"/>
      <c r="E273" s="82"/>
      <c r="F273" s="82"/>
      <c r="G273" s="9"/>
      <c r="H273" s="93"/>
      <c r="I273" s="47"/>
      <c r="J273" s="94"/>
      <c r="K273" s="112"/>
      <c r="L273" s="112"/>
      <c r="M273" s="191"/>
      <c r="N273" s="112"/>
      <c r="O273" s="112"/>
      <c r="P273" s="112"/>
      <c r="Q273" s="112"/>
      <c r="R273" s="112"/>
      <c r="S273" s="112"/>
      <c r="T273" s="96"/>
      <c r="U273" s="112"/>
      <c r="V273" s="112"/>
      <c r="W273" s="112"/>
      <c r="X273" s="96"/>
      <c r="Y273" s="96"/>
      <c r="Z273" s="96"/>
      <c r="AA273" s="96"/>
      <c r="AB273" s="96"/>
      <c r="AC273" s="96"/>
      <c r="AD273" s="96"/>
      <c r="AE273" s="96"/>
      <c r="AF273" s="96"/>
      <c r="AG273" s="112"/>
      <c r="AH273" s="112"/>
      <c r="AI273" s="112"/>
      <c r="AJ273" s="112"/>
      <c r="AK273" s="112"/>
      <c r="AL273" s="112"/>
      <c r="AM273" s="112"/>
      <c r="AN273" s="255"/>
      <c r="AO273" s="251"/>
      <c r="AP273" s="112"/>
      <c r="AQ273" s="112"/>
      <c r="AR273" s="112"/>
      <c r="AS273" s="112"/>
      <c r="AT273" s="112"/>
      <c r="AU273" s="112"/>
      <c r="AV273" s="112"/>
      <c r="AW273" s="112"/>
      <c r="AX273" s="112"/>
      <c r="AY273" s="112"/>
      <c r="AZ273" s="96"/>
      <c r="BA273" s="11"/>
      <c r="BB273" s="11"/>
      <c r="BC273" s="96"/>
      <c r="BD273" s="112"/>
      <c r="BE273" s="96"/>
      <c r="BF273" s="112"/>
      <c r="BG273" s="112"/>
      <c r="BH273" s="112"/>
      <c r="BI273" s="112"/>
      <c r="BJ273" s="112"/>
      <c r="BK273" s="112"/>
      <c r="BL273" s="112"/>
      <c r="BM273" s="112"/>
      <c r="BN273" s="112"/>
      <c r="BO273" s="112"/>
      <c r="BP273" s="112"/>
      <c r="BQ273" s="112"/>
      <c r="BR273" s="112"/>
      <c r="BS273" s="96"/>
      <c r="BT273" s="96"/>
      <c r="BU273" s="112"/>
      <c r="BV273" s="112"/>
      <c r="BW273" s="112"/>
      <c r="BX273" s="96"/>
      <c r="BY273" s="112"/>
      <c r="BZ273" s="112"/>
      <c r="CA273" s="112"/>
      <c r="CB273" s="96"/>
      <c r="CC273" s="112"/>
      <c r="CD273" s="96"/>
      <c r="CE273" s="112"/>
      <c r="CF273" s="96"/>
      <c r="CG273" s="96"/>
      <c r="CH273" s="112"/>
      <c r="CI273" s="112"/>
      <c r="CJ273" s="112"/>
      <c r="CK273" s="112"/>
      <c r="CL273" s="112"/>
      <c r="CM273" s="112"/>
      <c r="CN273" s="96"/>
      <c r="CO273" s="112"/>
      <c r="CP273" s="112"/>
      <c r="CQ273" s="112"/>
      <c r="CR273" s="112"/>
      <c r="CS273" s="112"/>
      <c r="CT273" s="112"/>
      <c r="CU273" s="112"/>
      <c r="CV273" s="112"/>
      <c r="CW273" s="112"/>
      <c r="CX273" s="96"/>
      <c r="CY273" s="112"/>
      <c r="CZ273" s="112"/>
      <c r="DA273" s="26"/>
      <c r="DB273" s="42"/>
      <c r="DC273" s="43"/>
      <c r="DD273" s="62"/>
      <c r="DE273" s="62"/>
      <c r="DF273" s="4"/>
      <c r="DG273" s="4"/>
      <c r="DH273" s="4"/>
      <c r="DI273" s="4"/>
      <c r="DJ273" s="62"/>
      <c r="DK273" s="62"/>
      <c r="DL273" s="209"/>
      <c r="DM273" s="62"/>
      <c r="DN273" s="13"/>
      <c r="DO273" s="13"/>
      <c r="DP273" s="68"/>
      <c r="DQ273" s="35"/>
      <c r="DR273" s="68"/>
      <c r="DS273" s="68"/>
      <c r="DT273" s="145"/>
      <c r="DU273" s="146"/>
      <c r="DV273" s="146"/>
      <c r="DW273" s="146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</row>
    <row r="274" spans="1:138" x14ac:dyDescent="0.2">
      <c r="A274" s="7"/>
      <c r="B274" s="148"/>
      <c r="C274" s="19"/>
      <c r="D274" s="19"/>
      <c r="E274" s="82"/>
      <c r="F274" s="82"/>
      <c r="G274" s="9"/>
      <c r="H274" s="93"/>
      <c r="I274" s="47"/>
      <c r="J274" s="94"/>
      <c r="K274" s="20"/>
      <c r="L274" s="20"/>
      <c r="M274" s="20"/>
      <c r="N274" s="20"/>
      <c r="O274" s="20"/>
      <c r="P274" s="20"/>
      <c r="Q274" s="20"/>
      <c r="R274" s="20"/>
      <c r="S274" s="20"/>
      <c r="T274" s="96"/>
      <c r="U274" s="20"/>
      <c r="V274" s="20"/>
      <c r="W274" s="20"/>
      <c r="X274" s="96"/>
      <c r="Y274" s="96"/>
      <c r="Z274" s="96"/>
      <c r="AA274" s="96"/>
      <c r="AB274" s="96"/>
      <c r="AC274" s="96"/>
      <c r="AD274" s="96"/>
      <c r="AE274" s="110"/>
      <c r="AF274" s="110"/>
      <c r="AG274" s="20"/>
      <c r="AH274" s="20"/>
      <c r="AI274" s="20"/>
      <c r="AJ274" s="20"/>
      <c r="AK274" s="20"/>
      <c r="AL274" s="20"/>
      <c r="AM274" s="20"/>
      <c r="AN274" s="254"/>
      <c r="AO274" s="251"/>
      <c r="AP274" s="112"/>
      <c r="AQ274" s="20"/>
      <c r="AR274" s="112"/>
      <c r="AS274" s="20"/>
      <c r="AT274" s="112"/>
      <c r="AU274" s="20"/>
      <c r="AV274" s="20"/>
      <c r="AW274" s="20"/>
      <c r="AX274" s="20"/>
      <c r="AY274" s="20"/>
      <c r="AZ274" s="96"/>
      <c r="BA274" s="11"/>
      <c r="BB274" s="11"/>
      <c r="BC274" s="96"/>
      <c r="BD274" s="20"/>
      <c r="BE274" s="96"/>
      <c r="BF274" s="20"/>
      <c r="BG274" s="20"/>
      <c r="BH274" s="20"/>
      <c r="BI274" s="20"/>
      <c r="BJ274" s="20"/>
      <c r="BK274" s="20"/>
      <c r="BL274" s="20"/>
      <c r="BM274" s="20"/>
      <c r="BN274" s="112"/>
      <c r="BO274" s="20"/>
      <c r="BP274" s="20"/>
      <c r="BQ274" s="20"/>
      <c r="BR274" s="20"/>
      <c r="BS274" s="11"/>
      <c r="BT274" s="11"/>
      <c r="BU274" s="112"/>
      <c r="BV274" s="112"/>
      <c r="BW274" s="112"/>
      <c r="BX274" s="11"/>
      <c r="BY274" s="20"/>
      <c r="BZ274" s="20"/>
      <c r="CA274" s="20"/>
      <c r="CB274" s="11"/>
      <c r="CC274" s="20"/>
      <c r="CD274" s="11"/>
      <c r="CE274" s="20"/>
      <c r="CF274" s="11"/>
      <c r="CG274" s="96"/>
      <c r="CH274" s="20"/>
      <c r="CI274" s="20"/>
      <c r="CJ274" s="20"/>
      <c r="CK274" s="20"/>
      <c r="CL274" s="20"/>
      <c r="CM274" s="20"/>
      <c r="CN274" s="11"/>
      <c r="CO274" s="20"/>
      <c r="CP274" s="20"/>
      <c r="CQ274" s="20"/>
      <c r="CR274" s="20"/>
      <c r="CS274" s="20"/>
      <c r="CT274" s="20"/>
      <c r="CU274" s="20"/>
      <c r="CV274" s="20"/>
      <c r="CW274" s="20"/>
      <c r="CX274" s="96"/>
      <c r="CY274" s="112"/>
      <c r="CZ274" s="20"/>
      <c r="DA274" s="26"/>
      <c r="DB274" s="42"/>
      <c r="DC274" s="43"/>
      <c r="DD274" s="62"/>
      <c r="DE274" s="62"/>
      <c r="DF274" s="4"/>
      <c r="DG274" s="4"/>
      <c r="DH274" s="4"/>
      <c r="DI274" s="4"/>
      <c r="DJ274" s="62"/>
      <c r="DK274" s="62"/>
      <c r="DL274" s="209"/>
      <c r="DM274" s="62"/>
      <c r="DN274" s="13"/>
      <c r="DO274" s="13"/>
      <c r="DP274" s="68"/>
      <c r="DQ274" s="35"/>
      <c r="DR274" s="68"/>
      <c r="DS274" s="68"/>
      <c r="DT274" s="145"/>
      <c r="DU274" s="146"/>
      <c r="DV274" s="146"/>
      <c r="DW274" s="146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</row>
    <row r="275" spans="1:138" x14ac:dyDescent="0.2">
      <c r="A275" s="7"/>
      <c r="B275" s="148"/>
      <c r="C275" s="19"/>
      <c r="D275" s="19"/>
      <c r="E275" s="82"/>
      <c r="F275" s="82"/>
      <c r="G275" s="9"/>
      <c r="H275" s="93"/>
      <c r="I275" s="47"/>
      <c r="J275" s="94"/>
      <c r="K275" s="20"/>
      <c r="L275" s="20"/>
      <c r="M275" s="20"/>
      <c r="N275" s="20"/>
      <c r="O275" s="20"/>
      <c r="P275" s="20"/>
      <c r="Q275" s="20"/>
      <c r="R275" s="20"/>
      <c r="S275" s="20"/>
      <c r="T275" s="96"/>
      <c r="U275" s="20"/>
      <c r="V275" s="20"/>
      <c r="W275" s="20"/>
      <c r="X275" s="96"/>
      <c r="Y275" s="96"/>
      <c r="Z275" s="96"/>
      <c r="AA275" s="96"/>
      <c r="AB275" s="96"/>
      <c r="AC275" s="96"/>
      <c r="AD275" s="96"/>
      <c r="AE275" s="110"/>
      <c r="AF275" s="110"/>
      <c r="AG275" s="20"/>
      <c r="AH275" s="20"/>
      <c r="AI275" s="20"/>
      <c r="AJ275" s="20"/>
      <c r="AK275" s="20"/>
      <c r="AL275" s="20"/>
      <c r="AM275" s="20"/>
      <c r="AN275" s="254"/>
      <c r="AO275" s="251"/>
      <c r="AP275" s="20"/>
      <c r="AQ275" s="20"/>
      <c r="AR275" s="20"/>
      <c r="AS275" s="20"/>
      <c r="AT275" s="20"/>
      <c r="AU275" s="20"/>
      <c r="AV275" s="20"/>
      <c r="AW275" s="20"/>
      <c r="AX275" s="20"/>
      <c r="AY275" s="112"/>
      <c r="AZ275" s="96"/>
      <c r="BA275" s="11"/>
      <c r="BB275" s="11"/>
      <c r="BC275" s="96"/>
      <c r="BD275" s="20"/>
      <c r="BE275" s="96"/>
      <c r="BF275" s="20"/>
      <c r="BG275" s="11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11"/>
      <c r="BT275" s="11"/>
      <c r="BU275" s="112"/>
      <c r="BV275" s="112"/>
      <c r="BW275" s="112"/>
      <c r="BX275" s="11"/>
      <c r="BY275" s="20"/>
      <c r="BZ275" s="20"/>
      <c r="CA275" s="20"/>
      <c r="CB275" s="11"/>
      <c r="CC275" s="20"/>
      <c r="CD275" s="11"/>
      <c r="CE275" s="20"/>
      <c r="CF275" s="11"/>
      <c r="CG275" s="96"/>
      <c r="CH275" s="20"/>
      <c r="CI275" s="20"/>
      <c r="CJ275" s="20"/>
      <c r="CK275" s="20"/>
      <c r="CL275" s="20"/>
      <c r="CM275" s="20"/>
      <c r="CN275" s="11"/>
      <c r="CO275" s="20"/>
      <c r="CP275" s="20"/>
      <c r="CQ275" s="20"/>
      <c r="CR275" s="20"/>
      <c r="CS275" s="20"/>
      <c r="CT275" s="20"/>
      <c r="CU275" s="20"/>
      <c r="CV275" s="20"/>
      <c r="CW275" s="20"/>
      <c r="CX275" s="96"/>
      <c r="CY275" s="112"/>
      <c r="CZ275" s="20"/>
      <c r="DA275" s="26"/>
      <c r="DB275" s="53"/>
      <c r="DC275" s="68"/>
      <c r="DD275" s="62"/>
      <c r="DE275" s="209"/>
      <c r="DF275" s="115"/>
      <c r="DG275" s="4"/>
      <c r="DH275" s="115"/>
      <c r="DI275" s="115"/>
      <c r="DJ275" s="62"/>
      <c r="DK275" s="62"/>
      <c r="DL275" s="209"/>
      <c r="DM275" s="62"/>
      <c r="DN275" s="13"/>
      <c r="DO275" s="13"/>
      <c r="DP275" s="68"/>
      <c r="DQ275" s="35"/>
      <c r="DR275" s="68"/>
      <c r="DS275" s="68"/>
      <c r="DT275" s="145"/>
      <c r="DU275" s="146"/>
      <c r="DV275" s="146"/>
      <c r="DW275" s="146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</row>
    <row r="276" spans="1:138" x14ac:dyDescent="0.2">
      <c r="A276" s="7"/>
      <c r="B276" s="200"/>
      <c r="C276" s="19"/>
      <c r="D276" s="19"/>
      <c r="E276" s="82"/>
      <c r="F276" s="82"/>
      <c r="G276" s="9"/>
      <c r="H276" s="93"/>
      <c r="I276" s="47"/>
      <c r="J276" s="94"/>
      <c r="K276" s="112"/>
      <c r="L276" s="112"/>
      <c r="M276" s="112"/>
      <c r="N276" s="112"/>
      <c r="O276" s="112"/>
      <c r="P276" s="112"/>
      <c r="Q276" s="112"/>
      <c r="R276" s="112"/>
      <c r="S276" s="112"/>
      <c r="T276" s="96"/>
      <c r="U276" s="112"/>
      <c r="V276" s="112"/>
      <c r="W276" s="112"/>
      <c r="X276" s="96"/>
      <c r="Y276" s="96"/>
      <c r="Z276" s="96"/>
      <c r="AA276" s="96"/>
      <c r="AB276" s="96"/>
      <c r="AC276" s="96"/>
      <c r="AD276" s="96"/>
      <c r="AE276" s="110"/>
      <c r="AF276" s="110"/>
      <c r="AG276" s="112"/>
      <c r="AH276" s="112"/>
      <c r="AI276" s="112"/>
      <c r="AJ276" s="112"/>
      <c r="AK276" s="112"/>
      <c r="AL276" s="112"/>
      <c r="AM276" s="112"/>
      <c r="AN276" s="255"/>
      <c r="AO276" s="251"/>
      <c r="AP276" s="112"/>
      <c r="AQ276" s="112"/>
      <c r="AR276" s="112"/>
      <c r="AS276" s="112"/>
      <c r="AT276" s="112"/>
      <c r="AU276" s="112"/>
      <c r="AV276" s="112"/>
      <c r="AW276" s="112"/>
      <c r="AX276" s="112"/>
      <c r="AY276" s="112"/>
      <c r="AZ276" s="96"/>
      <c r="BA276" s="11"/>
      <c r="BB276" s="11"/>
      <c r="BC276" s="96"/>
      <c r="BD276" s="112"/>
      <c r="BE276" s="96"/>
      <c r="BF276" s="112"/>
      <c r="BG276" s="112"/>
      <c r="BH276" s="112"/>
      <c r="BI276" s="112"/>
      <c r="BJ276" s="112"/>
      <c r="BK276" s="112"/>
      <c r="BL276" s="112"/>
      <c r="BM276" s="112"/>
      <c r="BN276" s="112"/>
      <c r="BO276" s="112"/>
      <c r="BP276" s="112"/>
      <c r="BQ276" s="112"/>
      <c r="BR276" s="112"/>
      <c r="BS276" s="96"/>
      <c r="BT276" s="96"/>
      <c r="BU276" s="112"/>
      <c r="BV276" s="112"/>
      <c r="BW276" s="112"/>
      <c r="BX276" s="96"/>
      <c r="BY276" s="112"/>
      <c r="BZ276" s="112"/>
      <c r="CA276" s="112"/>
      <c r="CB276" s="96"/>
      <c r="CC276" s="112"/>
      <c r="CD276" s="96"/>
      <c r="CE276" s="112"/>
      <c r="CF276" s="96"/>
      <c r="CG276" s="96"/>
      <c r="CH276" s="112"/>
      <c r="CI276" s="112"/>
      <c r="CJ276" s="112"/>
      <c r="CK276" s="112"/>
      <c r="CL276" s="112"/>
      <c r="CM276" s="112"/>
      <c r="CN276" s="96"/>
      <c r="CO276" s="112"/>
      <c r="CP276" s="112"/>
      <c r="CQ276" s="112"/>
      <c r="CR276" s="112"/>
      <c r="CS276" s="112"/>
      <c r="CT276" s="112"/>
      <c r="CU276" s="112"/>
      <c r="CV276" s="112"/>
      <c r="CW276" s="112"/>
      <c r="CX276" s="96"/>
      <c r="CY276" s="112"/>
      <c r="CZ276" s="112"/>
      <c r="DA276" s="26"/>
      <c r="DB276" s="42"/>
      <c r="DC276" s="43"/>
      <c r="DD276" s="62"/>
      <c r="DE276" s="62"/>
      <c r="DF276" s="4"/>
      <c r="DG276" s="4"/>
      <c r="DH276" s="4"/>
      <c r="DI276" s="4"/>
      <c r="DJ276" s="62"/>
      <c r="DK276" s="62"/>
      <c r="DL276" s="209"/>
      <c r="DM276" s="62"/>
      <c r="DN276" s="13"/>
      <c r="DO276" s="13"/>
      <c r="DP276" s="68"/>
      <c r="DQ276" s="35"/>
      <c r="DR276" s="68"/>
      <c r="DS276" s="68"/>
      <c r="DT276" s="145"/>
      <c r="DU276" s="146"/>
      <c r="DV276" s="146"/>
      <c r="DW276" s="146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</row>
    <row r="277" spans="1:138" x14ac:dyDescent="0.2">
      <c r="A277" s="7"/>
      <c r="B277" s="148"/>
      <c r="C277" s="19"/>
      <c r="D277" s="19"/>
      <c r="E277" s="82"/>
      <c r="F277" s="82"/>
      <c r="G277" s="9"/>
      <c r="H277" s="93"/>
      <c r="I277" s="47"/>
      <c r="J277" s="94"/>
      <c r="K277" s="20"/>
      <c r="L277" s="20"/>
      <c r="M277" s="20"/>
      <c r="N277" s="20"/>
      <c r="O277" s="20"/>
      <c r="P277" s="20"/>
      <c r="Q277" s="20"/>
      <c r="R277" s="20"/>
      <c r="S277" s="20"/>
      <c r="T277" s="96"/>
      <c r="U277" s="20"/>
      <c r="V277" s="20"/>
      <c r="W277" s="20"/>
      <c r="X277" s="96"/>
      <c r="Y277" s="96"/>
      <c r="Z277" s="96"/>
      <c r="AA277" s="96"/>
      <c r="AB277" s="96"/>
      <c r="AC277" s="96"/>
      <c r="AD277" s="96"/>
      <c r="AE277" s="110"/>
      <c r="AF277" s="110"/>
      <c r="AG277" s="20"/>
      <c r="AH277" s="20"/>
      <c r="AI277" s="20"/>
      <c r="AJ277" s="20"/>
      <c r="AK277" s="20"/>
      <c r="AL277" s="20"/>
      <c r="AM277" s="20"/>
      <c r="AN277" s="254"/>
      <c r="AO277" s="251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96"/>
      <c r="BA277" s="11"/>
      <c r="BB277" s="11"/>
      <c r="BC277" s="96"/>
      <c r="BD277" s="20"/>
      <c r="BE277" s="96"/>
      <c r="BF277" s="20"/>
      <c r="BG277" s="112"/>
      <c r="BH277" s="20"/>
      <c r="BI277" s="20"/>
      <c r="BJ277" s="20"/>
      <c r="BK277" s="20"/>
      <c r="BL277" s="20"/>
      <c r="BM277" s="20"/>
      <c r="BN277" s="112"/>
      <c r="BO277" s="20"/>
      <c r="BP277" s="20"/>
      <c r="BQ277" s="20"/>
      <c r="BR277" s="20"/>
      <c r="BS277" s="11"/>
      <c r="BT277" s="11"/>
      <c r="BU277" s="112"/>
      <c r="BV277" s="20"/>
      <c r="BW277" s="112"/>
      <c r="BX277" s="11"/>
      <c r="BY277" s="20"/>
      <c r="BZ277" s="20"/>
      <c r="CA277" s="20"/>
      <c r="CB277" s="11"/>
      <c r="CC277" s="20"/>
      <c r="CD277" s="11"/>
      <c r="CE277" s="20"/>
      <c r="CF277" s="11"/>
      <c r="CG277" s="96"/>
      <c r="CH277" s="20"/>
      <c r="CI277" s="20"/>
      <c r="CJ277" s="20"/>
      <c r="CK277" s="20"/>
      <c r="CL277" s="20"/>
      <c r="CM277" s="20"/>
      <c r="CN277" s="11"/>
      <c r="CO277" s="20"/>
      <c r="CP277" s="20"/>
      <c r="CQ277" s="20"/>
      <c r="CR277" s="20"/>
      <c r="CS277" s="20"/>
      <c r="CT277" s="20"/>
      <c r="CU277" s="20"/>
      <c r="CV277" s="20"/>
      <c r="CW277" s="20"/>
      <c r="CX277" s="96"/>
      <c r="CY277" s="112"/>
      <c r="CZ277" s="20"/>
      <c r="DA277" s="26"/>
      <c r="DB277" s="42"/>
      <c r="DC277" s="43"/>
      <c r="DD277" s="62"/>
      <c r="DE277" s="62"/>
      <c r="DF277" s="4"/>
      <c r="DG277" s="4"/>
      <c r="DH277" s="4"/>
      <c r="DI277" s="4"/>
      <c r="DJ277" s="62"/>
      <c r="DK277" s="62"/>
      <c r="DL277" s="209"/>
      <c r="DM277" s="62"/>
      <c r="DN277" s="13"/>
      <c r="DO277" s="13"/>
      <c r="DP277" s="68"/>
      <c r="DQ277" s="35"/>
      <c r="DR277" s="68"/>
      <c r="DS277" s="68"/>
      <c r="DT277" s="145"/>
      <c r="DU277" s="146"/>
      <c r="DV277" s="146"/>
      <c r="DW277" s="146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</row>
    <row r="278" spans="1:138" x14ac:dyDescent="0.2">
      <c r="A278" s="7"/>
      <c r="B278" s="189"/>
      <c r="C278" s="19"/>
      <c r="D278" s="19"/>
      <c r="E278" s="82"/>
      <c r="F278" s="82"/>
      <c r="G278" s="9"/>
      <c r="H278" s="93"/>
      <c r="I278" s="47"/>
      <c r="J278" s="94"/>
      <c r="K278" s="112"/>
      <c r="L278" s="112"/>
      <c r="M278" s="112"/>
      <c r="N278" s="112"/>
      <c r="O278" s="112"/>
      <c r="P278" s="112"/>
      <c r="Q278" s="112"/>
      <c r="R278" s="112"/>
      <c r="S278" s="112"/>
      <c r="T278" s="96"/>
      <c r="U278" s="112"/>
      <c r="V278" s="112"/>
      <c r="W278" s="112"/>
      <c r="X278" s="96"/>
      <c r="Y278" s="96"/>
      <c r="Z278" s="96"/>
      <c r="AA278" s="96"/>
      <c r="AB278" s="96"/>
      <c r="AC278" s="96"/>
      <c r="AD278" s="96"/>
      <c r="AE278" s="110"/>
      <c r="AF278" s="110"/>
      <c r="AG278" s="112"/>
      <c r="AH278" s="112"/>
      <c r="AI278" s="112"/>
      <c r="AJ278" s="112"/>
      <c r="AK278" s="112"/>
      <c r="AL278" s="112"/>
      <c r="AM278" s="112"/>
      <c r="AN278" s="255"/>
      <c r="AO278" s="251"/>
      <c r="AP278" s="112"/>
      <c r="AQ278" s="112"/>
      <c r="AR278" s="112"/>
      <c r="AS278" s="112"/>
      <c r="AT278" s="112"/>
      <c r="AU278" s="112"/>
      <c r="AV278" s="112"/>
      <c r="AW278" s="112"/>
      <c r="AX278" s="112"/>
      <c r="AY278" s="112"/>
      <c r="AZ278" s="96"/>
      <c r="BA278" s="11"/>
      <c r="BB278" s="11"/>
      <c r="BC278" s="96"/>
      <c r="BD278" s="96"/>
      <c r="BE278" s="96"/>
      <c r="BF278" s="112"/>
      <c r="BG278" s="112"/>
      <c r="BH278" s="112"/>
      <c r="BI278" s="112"/>
      <c r="BJ278" s="112"/>
      <c r="BK278" s="112"/>
      <c r="BL278" s="112"/>
      <c r="BM278" s="112"/>
      <c r="BN278" s="112"/>
      <c r="BO278" s="112"/>
      <c r="BP278" s="112"/>
      <c r="BQ278" s="112"/>
      <c r="BR278" s="112"/>
      <c r="BS278" s="96"/>
      <c r="BT278" s="96"/>
      <c r="BU278" s="112"/>
      <c r="BV278" s="112"/>
      <c r="BW278" s="112"/>
      <c r="BX278" s="96"/>
      <c r="BY278" s="112"/>
      <c r="BZ278" s="112"/>
      <c r="CA278" s="112"/>
      <c r="CB278" s="96"/>
      <c r="CC278" s="112"/>
      <c r="CD278" s="96"/>
      <c r="CE278" s="112"/>
      <c r="CF278" s="96"/>
      <c r="CG278" s="96"/>
      <c r="CH278" s="112"/>
      <c r="CI278" s="112"/>
      <c r="CJ278" s="112"/>
      <c r="CK278" s="112"/>
      <c r="CL278" s="112"/>
      <c r="CM278" s="112"/>
      <c r="CN278" s="96"/>
      <c r="CO278" s="112"/>
      <c r="CP278" s="112"/>
      <c r="CQ278" s="112"/>
      <c r="CR278" s="112"/>
      <c r="CS278" s="112"/>
      <c r="CT278" s="112"/>
      <c r="CU278" s="112"/>
      <c r="CV278" s="112"/>
      <c r="CW278" s="112"/>
      <c r="CX278" s="96"/>
      <c r="CY278" s="112"/>
      <c r="CZ278" s="112"/>
      <c r="DA278" s="26"/>
      <c r="DB278" s="42"/>
      <c r="DC278" s="43"/>
      <c r="DD278" s="62"/>
      <c r="DE278" s="62"/>
      <c r="DF278" s="4"/>
      <c r="DG278" s="4"/>
      <c r="DH278" s="4"/>
      <c r="DI278" s="4"/>
      <c r="DJ278" s="62"/>
      <c r="DK278" s="62"/>
      <c r="DL278" s="209"/>
      <c r="DM278" s="62"/>
      <c r="DN278" s="13"/>
      <c r="DO278" s="13"/>
      <c r="DP278" s="68"/>
      <c r="DQ278" s="35"/>
      <c r="DR278" s="68"/>
      <c r="DS278" s="68"/>
      <c r="DT278" s="145"/>
      <c r="DU278" s="146"/>
      <c r="DV278" s="146"/>
      <c r="DW278" s="146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</row>
    <row r="279" spans="1:138" x14ac:dyDescent="0.2">
      <c r="A279" s="7"/>
      <c r="B279" s="189"/>
      <c r="C279" s="19"/>
      <c r="D279" s="19"/>
      <c r="E279" s="82"/>
      <c r="F279" s="82"/>
      <c r="G279" s="9"/>
      <c r="H279" s="93"/>
      <c r="I279" s="47"/>
      <c r="J279" s="94"/>
      <c r="K279" s="112"/>
      <c r="L279" s="112"/>
      <c r="M279" s="112"/>
      <c r="N279" s="112"/>
      <c r="O279" s="112"/>
      <c r="P279" s="112"/>
      <c r="Q279" s="112"/>
      <c r="R279" s="112"/>
      <c r="S279" s="112"/>
      <c r="T279" s="96"/>
      <c r="U279" s="112"/>
      <c r="V279" s="112"/>
      <c r="W279" s="112"/>
      <c r="X279" s="96"/>
      <c r="Y279" s="96"/>
      <c r="Z279" s="96"/>
      <c r="AA279" s="96"/>
      <c r="AB279" s="96"/>
      <c r="AC279" s="96"/>
      <c r="AD279" s="96"/>
      <c r="AE279" s="110"/>
      <c r="AF279" s="110"/>
      <c r="AG279" s="112"/>
      <c r="AH279" s="112"/>
      <c r="AI279" s="112"/>
      <c r="AJ279" s="112"/>
      <c r="AK279" s="112"/>
      <c r="AL279" s="112"/>
      <c r="AM279" s="112"/>
      <c r="AN279" s="255"/>
      <c r="AO279" s="251"/>
      <c r="AP279" s="112"/>
      <c r="AQ279" s="112"/>
      <c r="AR279" s="112"/>
      <c r="AS279" s="112"/>
      <c r="AT279" s="112"/>
      <c r="AU279" s="112"/>
      <c r="AV279" s="112"/>
      <c r="AW279" s="112"/>
      <c r="AX279" s="112"/>
      <c r="AY279" s="112"/>
      <c r="AZ279" s="96"/>
      <c r="BA279" s="11"/>
      <c r="BB279" s="11"/>
      <c r="BC279" s="96"/>
      <c r="BD279" s="112"/>
      <c r="BE279" s="96"/>
      <c r="BF279" s="112"/>
      <c r="BG279" s="112"/>
      <c r="BH279" s="112"/>
      <c r="BI279" s="112"/>
      <c r="BJ279" s="112"/>
      <c r="BK279" s="112"/>
      <c r="BL279" s="112"/>
      <c r="BM279" s="112"/>
      <c r="BN279" s="112"/>
      <c r="BO279" s="112"/>
      <c r="BP279" s="112"/>
      <c r="BQ279" s="112"/>
      <c r="BR279" s="112"/>
      <c r="BS279" s="96"/>
      <c r="BT279" s="96"/>
      <c r="BU279" s="112"/>
      <c r="BV279" s="112"/>
      <c r="BW279" s="112"/>
      <c r="BX279" s="96"/>
      <c r="BY279" s="112"/>
      <c r="BZ279" s="112"/>
      <c r="CA279" s="112"/>
      <c r="CB279" s="96"/>
      <c r="CC279" s="112"/>
      <c r="CD279" s="96"/>
      <c r="CE279" s="112"/>
      <c r="CF279" s="96"/>
      <c r="CG279" s="96"/>
      <c r="CH279" s="112"/>
      <c r="CI279" s="112"/>
      <c r="CJ279" s="112"/>
      <c r="CK279" s="112"/>
      <c r="CL279" s="112"/>
      <c r="CM279" s="112"/>
      <c r="CN279" s="96"/>
      <c r="CO279" s="112"/>
      <c r="CP279" s="112"/>
      <c r="CQ279" s="112"/>
      <c r="CR279" s="112"/>
      <c r="CS279" s="112"/>
      <c r="CT279" s="112"/>
      <c r="CU279" s="112"/>
      <c r="CV279" s="112"/>
      <c r="CW279" s="112"/>
      <c r="CX279" s="96"/>
      <c r="CY279" s="112"/>
      <c r="CZ279" s="112"/>
      <c r="DA279" s="26"/>
      <c r="DB279" s="42"/>
      <c r="DC279" s="43"/>
      <c r="DD279" s="62"/>
      <c r="DE279" s="62"/>
      <c r="DF279" s="4"/>
      <c r="DG279" s="4"/>
      <c r="DH279" s="4"/>
      <c r="DI279" s="4"/>
      <c r="DJ279" s="62"/>
      <c r="DK279" s="62"/>
      <c r="DL279" s="209"/>
      <c r="DM279" s="62"/>
      <c r="DN279" s="13"/>
      <c r="DO279" s="13"/>
      <c r="DP279" s="68"/>
      <c r="DQ279" s="35"/>
      <c r="DR279" s="68"/>
      <c r="DS279" s="68"/>
      <c r="DT279" s="145"/>
      <c r="DU279" s="146"/>
      <c r="DV279" s="146"/>
      <c r="DW279" s="146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</row>
    <row r="280" spans="1:138" x14ac:dyDescent="0.2">
      <c r="A280" s="7"/>
      <c r="B280" s="189"/>
      <c r="C280" s="19"/>
      <c r="D280" s="19"/>
      <c r="E280" s="82"/>
      <c r="F280" s="82"/>
      <c r="G280" s="9"/>
      <c r="H280" s="93"/>
      <c r="I280" s="47"/>
      <c r="J280" s="94"/>
      <c r="K280" s="20"/>
      <c r="L280" s="20"/>
      <c r="M280" s="20"/>
      <c r="N280" s="20"/>
      <c r="O280" s="20"/>
      <c r="P280" s="20"/>
      <c r="Q280" s="20"/>
      <c r="R280" s="20"/>
      <c r="S280" s="112"/>
      <c r="T280" s="11"/>
      <c r="U280" s="20"/>
      <c r="V280" s="20"/>
      <c r="W280" s="20"/>
      <c r="X280" s="96"/>
      <c r="Y280" s="11"/>
      <c r="Z280" s="11"/>
      <c r="AA280" s="96"/>
      <c r="AB280" s="11"/>
      <c r="AC280" s="11"/>
      <c r="AD280" s="96"/>
      <c r="AE280" s="11"/>
      <c r="AF280" s="11"/>
      <c r="AG280" s="20"/>
      <c r="AH280" s="20"/>
      <c r="AI280" s="20"/>
      <c r="AJ280" s="20"/>
      <c r="AK280" s="20"/>
      <c r="AL280" s="20"/>
      <c r="AM280" s="20"/>
      <c r="AN280" s="254"/>
      <c r="AO280" s="251"/>
      <c r="AP280" s="20"/>
      <c r="AQ280" s="112"/>
      <c r="AR280" s="20"/>
      <c r="AS280" s="112"/>
      <c r="AT280" s="20"/>
      <c r="AU280" s="112"/>
      <c r="AV280" s="20"/>
      <c r="AW280" s="20"/>
      <c r="AX280" s="20"/>
      <c r="AY280" s="112"/>
      <c r="AZ280" s="96"/>
      <c r="BA280" s="11"/>
      <c r="BB280" s="11"/>
      <c r="BC280" s="11"/>
      <c r="BD280" s="20"/>
      <c r="BE280" s="11"/>
      <c r="BF280" s="20"/>
      <c r="BG280" s="20"/>
      <c r="BH280" s="20"/>
      <c r="BI280" s="20"/>
      <c r="BJ280" s="20"/>
      <c r="BK280" s="20"/>
      <c r="BL280" s="20"/>
      <c r="BM280" s="112"/>
      <c r="BN280" s="20"/>
      <c r="BO280" s="112"/>
      <c r="BP280" s="20"/>
      <c r="BQ280" s="20"/>
      <c r="BR280" s="20"/>
      <c r="BS280" s="11"/>
      <c r="BT280" s="96"/>
      <c r="BU280" s="112"/>
      <c r="BV280" s="112"/>
      <c r="BW280" s="20"/>
      <c r="BX280" s="11"/>
      <c r="BY280" s="112"/>
      <c r="BZ280" s="112"/>
      <c r="CA280" s="20"/>
      <c r="CB280" s="11"/>
      <c r="CC280" s="20"/>
      <c r="CD280" s="11"/>
      <c r="CE280" s="20"/>
      <c r="CF280" s="11"/>
      <c r="CG280" s="96"/>
      <c r="CH280" s="20"/>
      <c r="CI280" s="11"/>
      <c r="CJ280" s="112"/>
      <c r="CK280" s="112"/>
      <c r="CL280" s="20"/>
      <c r="CM280" s="20"/>
      <c r="CN280" s="11"/>
      <c r="CO280" s="20"/>
      <c r="CP280" s="20"/>
      <c r="CQ280" s="20"/>
      <c r="CR280" s="20"/>
      <c r="CS280" s="20"/>
      <c r="CT280" s="20"/>
      <c r="CU280" s="20"/>
      <c r="CV280" s="20"/>
      <c r="CW280" s="20"/>
      <c r="CX280" s="11"/>
      <c r="CY280" s="20"/>
      <c r="CZ280" s="20"/>
      <c r="DA280" s="26"/>
      <c r="DB280" s="42"/>
      <c r="DC280" s="43"/>
      <c r="DD280" s="62"/>
      <c r="DE280" s="62"/>
      <c r="DF280" s="4"/>
      <c r="DG280" s="4"/>
      <c r="DH280" s="4"/>
      <c r="DI280" s="4"/>
      <c r="DJ280" s="62"/>
      <c r="DK280" s="62"/>
      <c r="DL280" s="209"/>
      <c r="DM280" s="62"/>
      <c r="DN280" s="13"/>
      <c r="DO280" s="13"/>
      <c r="DP280" s="68"/>
      <c r="DQ280" s="35"/>
      <c r="DR280" s="68"/>
      <c r="DS280" s="68"/>
      <c r="DT280" s="145"/>
      <c r="DU280" s="146"/>
      <c r="DV280" s="146"/>
      <c r="DW280" s="146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</row>
    <row r="281" spans="1:138" x14ac:dyDescent="0.2">
      <c r="A281" s="7"/>
      <c r="B281" s="189"/>
      <c r="C281" s="19"/>
      <c r="D281" s="19"/>
      <c r="E281" s="82"/>
      <c r="F281" s="82"/>
      <c r="G281" s="9"/>
      <c r="H281" s="93"/>
      <c r="I281" s="47"/>
      <c r="J281" s="94"/>
      <c r="K281" s="112"/>
      <c r="L281" s="112"/>
      <c r="M281" s="112"/>
      <c r="N281" s="112"/>
      <c r="O281" s="112"/>
      <c r="P281" s="112"/>
      <c r="Q281" s="112"/>
      <c r="R281" s="112"/>
      <c r="S281" s="112"/>
      <c r="T281" s="96"/>
      <c r="U281" s="112"/>
      <c r="V281" s="112"/>
      <c r="W281" s="112"/>
      <c r="X281" s="96"/>
      <c r="Y281" s="96"/>
      <c r="Z281" s="96"/>
      <c r="AA281" s="96"/>
      <c r="AB281" s="96"/>
      <c r="AC281" s="96"/>
      <c r="AD281" s="96"/>
      <c r="AE281" s="96"/>
      <c r="AF281" s="96"/>
      <c r="AG281" s="112"/>
      <c r="AH281" s="112"/>
      <c r="AI281" s="112"/>
      <c r="AJ281" s="112"/>
      <c r="AK281" s="112"/>
      <c r="AL281" s="112"/>
      <c r="AM281" s="112"/>
      <c r="AN281" s="255"/>
      <c r="AO281" s="251"/>
      <c r="AP281" s="112"/>
      <c r="AQ281" s="112"/>
      <c r="AR281" s="112"/>
      <c r="AS281" s="112"/>
      <c r="AT281" s="112"/>
      <c r="AU281" s="112"/>
      <c r="AV281" s="112"/>
      <c r="AW281" s="112"/>
      <c r="AX281" s="112"/>
      <c r="AY281" s="112"/>
      <c r="AZ281" s="96"/>
      <c r="BA281" s="11"/>
      <c r="BB281" s="11"/>
      <c r="BC281" s="96"/>
      <c r="BD281" s="96"/>
      <c r="BE281" s="96"/>
      <c r="BF281" s="96"/>
      <c r="BG281" s="112"/>
      <c r="BH281" s="112"/>
      <c r="BI281" s="112"/>
      <c r="BJ281" s="112"/>
      <c r="BK281" s="112"/>
      <c r="BL281" s="112"/>
      <c r="BM281" s="112"/>
      <c r="BN281" s="112"/>
      <c r="BO281" s="112"/>
      <c r="BP281" s="112"/>
      <c r="BQ281" s="112"/>
      <c r="BR281" s="112"/>
      <c r="BS281" s="96"/>
      <c r="BT281" s="96"/>
      <c r="BU281" s="112"/>
      <c r="BV281" s="112"/>
      <c r="BW281" s="112"/>
      <c r="BX281" s="96"/>
      <c r="BY281" s="112"/>
      <c r="BZ281" s="112"/>
      <c r="CA281" s="112"/>
      <c r="CB281" s="112"/>
      <c r="CC281" s="112"/>
      <c r="CD281" s="96"/>
      <c r="CE281" s="112"/>
      <c r="CF281" s="96"/>
      <c r="CG281" s="96"/>
      <c r="CH281" s="112"/>
      <c r="CI281" s="96"/>
      <c r="CJ281" s="112"/>
      <c r="CK281" s="112"/>
      <c r="CL281" s="112"/>
      <c r="CM281" s="112"/>
      <c r="CN281" s="96"/>
      <c r="CO281" s="112"/>
      <c r="CP281" s="112"/>
      <c r="CQ281" s="112"/>
      <c r="CR281" s="112"/>
      <c r="CS281" s="112"/>
      <c r="CT281" s="112"/>
      <c r="CU281" s="112"/>
      <c r="CV281" s="112"/>
      <c r="CW281" s="112"/>
      <c r="CX281" s="96"/>
      <c r="CY281" s="112"/>
      <c r="CZ281" s="112"/>
      <c r="DA281" s="26"/>
      <c r="DB281" s="42"/>
      <c r="DC281" s="43"/>
      <c r="DD281" s="62"/>
      <c r="DE281" s="62"/>
      <c r="DF281" s="4"/>
      <c r="DG281" s="4"/>
      <c r="DH281" s="4"/>
      <c r="DI281" s="4"/>
      <c r="DJ281" s="62"/>
      <c r="DK281" s="62"/>
      <c r="DL281" s="209"/>
      <c r="DM281" s="62"/>
      <c r="DN281" s="13"/>
      <c r="DO281" s="13"/>
      <c r="DP281" s="68"/>
      <c r="DQ281" s="35"/>
      <c r="DR281" s="68"/>
      <c r="DS281" s="68"/>
      <c r="DT281" s="145"/>
      <c r="DU281" s="146"/>
      <c r="DV281" s="146"/>
      <c r="DW281" s="146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</row>
    <row r="282" spans="1:138" x14ac:dyDescent="0.2">
      <c r="A282" s="7"/>
      <c r="B282" s="148"/>
      <c r="C282" s="19"/>
      <c r="D282" s="19"/>
      <c r="E282" s="82"/>
      <c r="F282" s="82"/>
      <c r="G282" s="9"/>
      <c r="H282" s="93"/>
      <c r="I282" s="47"/>
      <c r="J282" s="94"/>
      <c r="K282" s="20"/>
      <c r="L282" s="112"/>
      <c r="M282" s="112"/>
      <c r="N282" s="20"/>
      <c r="O282" s="20"/>
      <c r="P282" s="20"/>
      <c r="Q282" s="20"/>
      <c r="R282" s="20"/>
      <c r="S282" s="20"/>
      <c r="T282" s="96"/>
      <c r="U282" s="20"/>
      <c r="V282" s="20"/>
      <c r="W282" s="20"/>
      <c r="X282" s="96"/>
      <c r="Y282" s="96"/>
      <c r="Z282" s="96"/>
      <c r="AA282" s="96"/>
      <c r="AB282" s="96"/>
      <c r="AC282" s="96"/>
      <c r="AD282" s="96"/>
      <c r="AE282" s="110"/>
      <c r="AF282" s="110"/>
      <c r="AG282" s="20"/>
      <c r="AH282" s="20"/>
      <c r="AI282" s="20"/>
      <c r="AJ282" s="20"/>
      <c r="AK282" s="20"/>
      <c r="AL282" s="20"/>
      <c r="AM282" s="20"/>
      <c r="AN282" s="254"/>
      <c r="AO282" s="251"/>
      <c r="AP282" s="11"/>
      <c r="AQ282" s="20"/>
      <c r="AR282" s="11"/>
      <c r="AS282" s="20"/>
      <c r="AT282" s="11"/>
      <c r="AU282" s="20"/>
      <c r="AV282" s="20"/>
      <c r="AW282" s="20"/>
      <c r="AX282" s="20"/>
      <c r="AY282" s="20"/>
      <c r="AZ282" s="96"/>
      <c r="BA282" s="11"/>
      <c r="BB282" s="11"/>
      <c r="BC282" s="96"/>
      <c r="BD282" s="20"/>
      <c r="BE282" s="96"/>
      <c r="BF282" s="20"/>
      <c r="BG282" s="112"/>
      <c r="BH282" s="20"/>
      <c r="BI282" s="20"/>
      <c r="BJ282" s="20"/>
      <c r="BK282" s="20"/>
      <c r="BL282" s="20"/>
      <c r="BM282" s="20"/>
      <c r="BN282" s="112"/>
      <c r="BO282" s="20"/>
      <c r="BP282" s="20"/>
      <c r="BQ282" s="20"/>
      <c r="BR282" s="20"/>
      <c r="BS282" s="11"/>
      <c r="BT282" s="11"/>
      <c r="BU282" s="112"/>
      <c r="BV282" s="112"/>
      <c r="BW282" s="112"/>
      <c r="BX282" s="11"/>
      <c r="BY282" s="20"/>
      <c r="BZ282" s="20"/>
      <c r="CA282" s="20"/>
      <c r="CB282" s="20"/>
      <c r="CC282" s="20"/>
      <c r="CD282" s="20"/>
      <c r="CE282" s="20"/>
      <c r="CF282" s="20"/>
      <c r="CG282" s="96"/>
      <c r="CH282" s="20"/>
      <c r="CI282" s="20"/>
      <c r="CJ282" s="20"/>
      <c r="CK282" s="20"/>
      <c r="CL282" s="20"/>
      <c r="CM282" s="20"/>
      <c r="CN282" s="11"/>
      <c r="CO282" s="20"/>
      <c r="CP282" s="20"/>
      <c r="CQ282" s="20"/>
      <c r="CR282" s="20"/>
      <c r="CS282" s="20"/>
      <c r="CT282" s="20"/>
      <c r="CU282" s="20"/>
      <c r="CV282" s="20"/>
      <c r="CW282" s="20"/>
      <c r="CX282" s="96"/>
      <c r="CY282" s="112"/>
      <c r="CZ282" s="20"/>
      <c r="DA282" s="26"/>
      <c r="DB282" s="42"/>
      <c r="DC282" s="43"/>
      <c r="DD282" s="62"/>
      <c r="DE282" s="62"/>
      <c r="DF282" s="4"/>
      <c r="DG282" s="4"/>
      <c r="DH282" s="4"/>
      <c r="DI282" s="4"/>
      <c r="DJ282" s="62"/>
      <c r="DK282" s="62"/>
      <c r="DL282" s="209"/>
      <c r="DM282" s="62"/>
      <c r="DN282" s="13"/>
      <c r="DO282" s="13"/>
      <c r="DP282" s="68"/>
      <c r="DQ282" s="35"/>
      <c r="DR282" s="68"/>
      <c r="DS282" s="68"/>
      <c r="DT282" s="145"/>
      <c r="DU282" s="146"/>
      <c r="DV282" s="146"/>
      <c r="DW282" s="146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</row>
    <row r="283" spans="1:138" x14ac:dyDescent="0.2">
      <c r="A283" s="7"/>
      <c r="B283" s="148"/>
      <c r="C283" s="19"/>
      <c r="D283" s="19"/>
      <c r="E283" s="82"/>
      <c r="F283" s="82"/>
      <c r="G283" s="9"/>
      <c r="H283" s="93"/>
      <c r="I283" s="47"/>
      <c r="J283" s="94"/>
      <c r="K283" s="20"/>
      <c r="L283" s="20"/>
      <c r="M283" s="20"/>
      <c r="N283" s="20"/>
      <c r="O283" s="20"/>
      <c r="P283" s="20"/>
      <c r="Q283" s="20"/>
      <c r="R283" s="20"/>
      <c r="S283" s="20"/>
      <c r="T283" s="96"/>
      <c r="U283" s="20"/>
      <c r="V283" s="112"/>
      <c r="W283" s="20"/>
      <c r="X283" s="96"/>
      <c r="Y283" s="96"/>
      <c r="Z283" s="96"/>
      <c r="AA283" s="96"/>
      <c r="AB283" s="96"/>
      <c r="AC283" s="96"/>
      <c r="AD283" s="96"/>
      <c r="AE283" s="110"/>
      <c r="AF283" s="110"/>
      <c r="AG283" s="20"/>
      <c r="AH283" s="20"/>
      <c r="AI283" s="20"/>
      <c r="AJ283" s="20"/>
      <c r="AK283" s="20"/>
      <c r="AL283" s="20"/>
      <c r="AM283" s="20"/>
      <c r="AN283" s="254"/>
      <c r="AO283" s="251"/>
      <c r="AP283" s="11"/>
      <c r="AQ283" s="20"/>
      <c r="AR283" s="11"/>
      <c r="AS283" s="20"/>
      <c r="AT283" s="11"/>
      <c r="AU283" s="20"/>
      <c r="AV283" s="20"/>
      <c r="AW283" s="20"/>
      <c r="AX283" s="20"/>
      <c r="AY283" s="20"/>
      <c r="AZ283" s="96"/>
      <c r="BA283" s="11"/>
      <c r="BB283" s="11"/>
      <c r="BC283" s="96"/>
      <c r="BD283" s="20"/>
      <c r="BE283" s="96"/>
      <c r="BF283" s="20"/>
      <c r="BG283" s="112"/>
      <c r="BH283" s="20"/>
      <c r="BI283" s="112"/>
      <c r="BJ283" s="20"/>
      <c r="BK283" s="20"/>
      <c r="BL283" s="20"/>
      <c r="BM283" s="20"/>
      <c r="BN283" s="112"/>
      <c r="BO283" s="20"/>
      <c r="BP283" s="20"/>
      <c r="BQ283" s="20"/>
      <c r="BR283" s="20"/>
      <c r="BS283" s="11"/>
      <c r="BT283" s="11"/>
      <c r="BU283" s="112"/>
      <c r="BV283" s="112"/>
      <c r="BW283" s="112"/>
      <c r="BX283" s="11"/>
      <c r="BY283" s="20"/>
      <c r="BZ283" s="20"/>
      <c r="CA283" s="20"/>
      <c r="CB283" s="20"/>
      <c r="CC283" s="20"/>
      <c r="CD283" s="20"/>
      <c r="CE283" s="20"/>
      <c r="CF283" s="20"/>
      <c r="CG283" s="96"/>
      <c r="CH283" s="20"/>
      <c r="CI283" s="20"/>
      <c r="CJ283" s="20"/>
      <c r="CK283" s="20"/>
      <c r="CL283" s="20"/>
      <c r="CM283" s="20"/>
      <c r="CN283" s="11"/>
      <c r="CO283" s="20"/>
      <c r="CP283" s="20"/>
      <c r="CQ283" s="20"/>
      <c r="CR283" s="20"/>
      <c r="CS283" s="20"/>
      <c r="CT283" s="112"/>
      <c r="CU283" s="20"/>
      <c r="CV283" s="112"/>
      <c r="CW283" s="20"/>
      <c r="CX283" s="96"/>
      <c r="CY283" s="112"/>
      <c r="CZ283" s="20"/>
      <c r="DA283" s="26"/>
      <c r="DB283" s="42"/>
      <c r="DC283" s="43"/>
      <c r="DD283" s="62"/>
      <c r="DE283" s="62"/>
      <c r="DF283" s="4"/>
      <c r="DG283" s="4"/>
      <c r="DH283" s="4"/>
      <c r="DI283" s="4"/>
      <c r="DJ283" s="62"/>
      <c r="DK283" s="62"/>
      <c r="DL283" s="209"/>
      <c r="DM283" s="62"/>
      <c r="DN283" s="13"/>
      <c r="DO283" s="13"/>
      <c r="DP283" s="68"/>
      <c r="DQ283" s="35"/>
      <c r="DR283" s="68"/>
      <c r="DS283" s="68"/>
      <c r="DT283" s="145"/>
      <c r="DU283" s="146"/>
      <c r="DV283" s="146"/>
      <c r="DW283" s="146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</row>
    <row r="284" spans="1:138" x14ac:dyDescent="0.2">
      <c r="A284" s="7"/>
      <c r="B284" s="189"/>
      <c r="C284" s="19"/>
      <c r="D284" s="19"/>
      <c r="E284" s="82"/>
      <c r="F284" s="82"/>
      <c r="G284" s="9"/>
      <c r="H284" s="93"/>
      <c r="I284" s="47"/>
      <c r="J284" s="94"/>
      <c r="K284" s="112"/>
      <c r="L284" s="112"/>
      <c r="M284" s="112"/>
      <c r="N284" s="112"/>
      <c r="O284" s="112"/>
      <c r="P284" s="112"/>
      <c r="Q284" s="112"/>
      <c r="R284" s="112"/>
      <c r="S284" s="112"/>
      <c r="T284" s="96"/>
      <c r="U284" s="112"/>
      <c r="V284" s="112"/>
      <c r="W284" s="112"/>
      <c r="X284" s="96"/>
      <c r="Y284" s="96"/>
      <c r="Z284" s="96"/>
      <c r="AA284" s="96"/>
      <c r="AB284" s="96"/>
      <c r="AC284" s="96"/>
      <c r="AD284" s="96"/>
      <c r="AE284" s="110"/>
      <c r="AF284" s="110"/>
      <c r="AG284" s="112"/>
      <c r="AH284" s="112"/>
      <c r="AI284" s="112"/>
      <c r="AJ284" s="112"/>
      <c r="AK284" s="112"/>
      <c r="AL284" s="112"/>
      <c r="AM284" s="112"/>
      <c r="AN284" s="255"/>
      <c r="AO284" s="251"/>
      <c r="AP284" s="96"/>
      <c r="AQ284" s="112"/>
      <c r="AR284" s="96"/>
      <c r="AS284" s="112"/>
      <c r="AT284" s="96"/>
      <c r="AU284" s="112"/>
      <c r="AV284" s="112"/>
      <c r="AW284" s="112"/>
      <c r="AX284" s="112"/>
      <c r="AY284" s="112"/>
      <c r="AZ284" s="96"/>
      <c r="BA284" s="11"/>
      <c r="BB284" s="11"/>
      <c r="BC284" s="96"/>
      <c r="BD284" s="112"/>
      <c r="BE284" s="96"/>
      <c r="BF284" s="112"/>
      <c r="BG284" s="112"/>
      <c r="BH284" s="112"/>
      <c r="BI284" s="112"/>
      <c r="BJ284" s="112"/>
      <c r="BK284" s="112"/>
      <c r="BL284" s="112"/>
      <c r="BM284" s="112"/>
      <c r="BN284" s="112"/>
      <c r="BO284" s="112"/>
      <c r="BP284" s="112"/>
      <c r="BQ284" s="112"/>
      <c r="BR284" s="112"/>
      <c r="BS284" s="96"/>
      <c r="BT284" s="96"/>
      <c r="BU284" s="112"/>
      <c r="BV284" s="112"/>
      <c r="BW284" s="112"/>
      <c r="BX284" s="96"/>
      <c r="BY284" s="112"/>
      <c r="BZ284" s="112"/>
      <c r="CA284" s="112"/>
      <c r="CB284" s="112"/>
      <c r="CC284" s="112"/>
      <c r="CD284" s="112"/>
      <c r="CE284" s="112"/>
      <c r="CF284" s="112"/>
      <c r="CG284" s="96"/>
      <c r="CH284" s="112"/>
      <c r="CI284" s="112"/>
      <c r="CJ284" s="112"/>
      <c r="CK284" s="112"/>
      <c r="CL284" s="112"/>
      <c r="CM284" s="112"/>
      <c r="CN284" s="96"/>
      <c r="CO284" s="112"/>
      <c r="CP284" s="112"/>
      <c r="CQ284" s="112"/>
      <c r="CR284" s="112"/>
      <c r="CS284" s="112"/>
      <c r="CT284" s="112"/>
      <c r="CU284" s="112"/>
      <c r="CV284" s="112"/>
      <c r="CW284" s="112"/>
      <c r="CX284" s="96"/>
      <c r="CY284" s="112"/>
      <c r="CZ284" s="112"/>
      <c r="DA284" s="26"/>
      <c r="DB284" s="42"/>
      <c r="DC284" s="43"/>
      <c r="DD284" s="62"/>
      <c r="DE284" s="62"/>
      <c r="DF284" s="4"/>
      <c r="DG284" s="4"/>
      <c r="DH284" s="4"/>
      <c r="DI284" s="4"/>
      <c r="DJ284" s="62"/>
      <c r="DK284" s="62"/>
      <c r="DL284" s="209"/>
      <c r="DM284" s="62"/>
      <c r="DN284" s="13"/>
      <c r="DO284" s="13"/>
      <c r="DP284" s="68"/>
      <c r="DQ284" s="35"/>
      <c r="DR284" s="68"/>
      <c r="DS284" s="68"/>
      <c r="DT284" s="145"/>
      <c r="DU284" s="146"/>
      <c r="DV284" s="146"/>
      <c r="DW284" s="146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</row>
    <row r="285" spans="1:138" x14ac:dyDescent="0.2">
      <c r="A285" s="7"/>
      <c r="B285" s="148"/>
      <c r="C285" s="19"/>
      <c r="D285" s="19"/>
      <c r="E285" s="82"/>
      <c r="F285" s="82"/>
      <c r="G285" s="9"/>
      <c r="H285" s="93"/>
      <c r="I285" s="47"/>
      <c r="J285" s="94"/>
      <c r="K285" s="20"/>
      <c r="L285" s="20"/>
      <c r="M285" s="20"/>
      <c r="N285" s="20"/>
      <c r="O285" s="20"/>
      <c r="P285" s="20"/>
      <c r="Q285" s="20"/>
      <c r="R285" s="20"/>
      <c r="S285" s="20"/>
      <c r="T285" s="96"/>
      <c r="U285" s="20"/>
      <c r="V285" s="20"/>
      <c r="W285" s="20"/>
      <c r="X285" s="96"/>
      <c r="Y285" s="96"/>
      <c r="Z285" s="96"/>
      <c r="AA285" s="96"/>
      <c r="AB285" s="96"/>
      <c r="AC285" s="96"/>
      <c r="AD285" s="96"/>
      <c r="AE285" s="110"/>
      <c r="AF285" s="110"/>
      <c r="AG285" s="20"/>
      <c r="AH285" s="20"/>
      <c r="AI285" s="20"/>
      <c r="AJ285" s="20"/>
      <c r="AK285" s="20"/>
      <c r="AL285" s="20"/>
      <c r="AM285" s="20"/>
      <c r="AN285" s="254"/>
      <c r="AO285" s="251"/>
      <c r="AP285" s="11"/>
      <c r="AQ285" s="20"/>
      <c r="AR285" s="11"/>
      <c r="AS285" s="20"/>
      <c r="AT285" s="11"/>
      <c r="AU285" s="20"/>
      <c r="AV285" s="20"/>
      <c r="AW285" s="20"/>
      <c r="AX285" s="20"/>
      <c r="AY285" s="20"/>
      <c r="AZ285" s="96"/>
      <c r="BA285" s="11"/>
      <c r="BB285" s="96"/>
      <c r="BC285" s="96"/>
      <c r="BD285" s="20"/>
      <c r="BE285" s="96"/>
      <c r="BF285" s="20"/>
      <c r="BG285" s="20"/>
      <c r="BH285" s="20"/>
      <c r="BI285" s="20"/>
      <c r="BJ285" s="20"/>
      <c r="BK285" s="20"/>
      <c r="BL285" s="20"/>
      <c r="BM285" s="20"/>
      <c r="BN285" s="112"/>
      <c r="BO285" s="20"/>
      <c r="BP285" s="20"/>
      <c r="BQ285" s="20"/>
      <c r="BR285" s="20"/>
      <c r="BS285" s="11"/>
      <c r="BT285" s="11"/>
      <c r="BU285" s="112"/>
      <c r="BV285" s="112"/>
      <c r="BW285" s="112"/>
      <c r="BX285" s="11"/>
      <c r="BY285" s="20"/>
      <c r="BZ285" s="20"/>
      <c r="CA285" s="20"/>
      <c r="CB285" s="20"/>
      <c r="CC285" s="20"/>
      <c r="CD285" s="20"/>
      <c r="CE285" s="20"/>
      <c r="CF285" s="20"/>
      <c r="CG285" s="96"/>
      <c r="CH285" s="20"/>
      <c r="CI285" s="20"/>
      <c r="CJ285" s="20"/>
      <c r="CK285" s="20"/>
      <c r="CL285" s="20"/>
      <c r="CM285" s="20"/>
      <c r="CN285" s="11"/>
      <c r="CO285" s="20"/>
      <c r="CP285" s="20"/>
      <c r="CQ285" s="20"/>
      <c r="CR285" s="20"/>
      <c r="CS285" s="20"/>
      <c r="CT285" s="20"/>
      <c r="CU285" s="20"/>
      <c r="CV285" s="20"/>
      <c r="CW285" s="20"/>
      <c r="CX285" s="96"/>
      <c r="CY285" s="112"/>
      <c r="CZ285" s="20"/>
      <c r="DA285" s="26"/>
      <c r="DB285" s="53"/>
      <c r="DC285" s="68"/>
      <c r="DD285" s="62"/>
      <c r="DE285" s="209"/>
      <c r="DF285" s="115"/>
      <c r="DG285" s="4"/>
      <c r="DH285" s="115"/>
      <c r="DI285" s="115"/>
      <c r="DJ285" s="62"/>
      <c r="DK285" s="62"/>
      <c r="DL285" s="209"/>
      <c r="DM285" s="62"/>
      <c r="DN285" s="13"/>
      <c r="DO285" s="13"/>
      <c r="DP285" s="68"/>
      <c r="DQ285" s="35"/>
      <c r="DR285" s="68"/>
      <c r="DS285" s="68"/>
      <c r="DT285" s="145"/>
      <c r="DU285" s="146"/>
      <c r="DV285" s="146"/>
      <c r="DW285" s="146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</row>
    <row r="286" spans="1:138" x14ac:dyDescent="0.2">
      <c r="A286" s="7"/>
      <c r="B286" s="200"/>
      <c r="C286" s="19"/>
      <c r="D286" s="19"/>
      <c r="E286" s="82"/>
      <c r="F286" s="82"/>
      <c r="G286" s="9"/>
      <c r="H286" s="93"/>
      <c r="I286" s="47"/>
      <c r="J286" s="94"/>
      <c r="K286" s="112"/>
      <c r="L286" s="112"/>
      <c r="M286" s="112"/>
      <c r="N286" s="112"/>
      <c r="O286" s="112"/>
      <c r="P286" s="112"/>
      <c r="Q286" s="112"/>
      <c r="R286" s="112"/>
      <c r="S286" s="112"/>
      <c r="T286" s="96"/>
      <c r="U286" s="112"/>
      <c r="V286" s="112"/>
      <c r="W286" s="112"/>
      <c r="X286" s="96"/>
      <c r="Y286" s="96"/>
      <c r="Z286" s="96"/>
      <c r="AA286" s="96"/>
      <c r="AB286" s="96"/>
      <c r="AC286" s="96"/>
      <c r="AD286" s="96"/>
      <c r="AE286" s="110"/>
      <c r="AF286" s="110"/>
      <c r="AG286" s="112"/>
      <c r="AH286" s="112"/>
      <c r="AI286" s="112"/>
      <c r="AJ286" s="112"/>
      <c r="AK286" s="112"/>
      <c r="AL286" s="112"/>
      <c r="AM286" s="112"/>
      <c r="AN286" s="255"/>
      <c r="AO286" s="251"/>
      <c r="AP286" s="96"/>
      <c r="AQ286" s="112"/>
      <c r="AR286" s="96"/>
      <c r="AS286" s="112"/>
      <c r="AT286" s="96"/>
      <c r="AU286" s="112"/>
      <c r="AV286" s="112"/>
      <c r="AW286" s="112"/>
      <c r="AX286" s="112"/>
      <c r="AY286" s="112"/>
      <c r="AZ286" s="96"/>
      <c r="BA286" s="11"/>
      <c r="BB286" s="11"/>
      <c r="BC286" s="96"/>
      <c r="BD286" s="112"/>
      <c r="BE286" s="96"/>
      <c r="BF286" s="112"/>
      <c r="BG286" s="112"/>
      <c r="BH286" s="112"/>
      <c r="BI286" s="112"/>
      <c r="BJ286" s="112"/>
      <c r="BK286" s="112"/>
      <c r="BL286" s="112"/>
      <c r="BM286" s="112"/>
      <c r="BN286" s="112"/>
      <c r="BO286" s="112"/>
      <c r="BP286" s="112"/>
      <c r="BQ286" s="112"/>
      <c r="BR286" s="112"/>
      <c r="BS286" s="96"/>
      <c r="BT286" s="96"/>
      <c r="BU286" s="112"/>
      <c r="BV286" s="112"/>
      <c r="BW286" s="112"/>
      <c r="BX286" s="96"/>
      <c r="BY286" s="112"/>
      <c r="BZ286" s="112"/>
      <c r="CA286" s="112"/>
      <c r="CB286" s="112"/>
      <c r="CC286" s="112"/>
      <c r="CD286" s="112"/>
      <c r="CE286" s="112"/>
      <c r="CF286" s="112"/>
      <c r="CG286" s="96"/>
      <c r="CH286" s="112"/>
      <c r="CI286" s="112"/>
      <c r="CJ286" s="112"/>
      <c r="CK286" s="112"/>
      <c r="CL286" s="112"/>
      <c r="CM286" s="112"/>
      <c r="CN286" s="96"/>
      <c r="CO286" s="112"/>
      <c r="CP286" s="112"/>
      <c r="CQ286" s="112"/>
      <c r="CR286" s="112"/>
      <c r="CS286" s="112"/>
      <c r="CT286" s="112"/>
      <c r="CU286" s="112"/>
      <c r="CV286" s="112"/>
      <c r="CW286" s="112"/>
      <c r="CX286" s="96"/>
      <c r="CY286" s="112"/>
      <c r="CZ286" s="112"/>
      <c r="DA286" s="26"/>
      <c r="DB286" s="42"/>
      <c r="DC286" s="43"/>
      <c r="DD286" s="62"/>
      <c r="DE286" s="62"/>
      <c r="DF286" s="4"/>
      <c r="DG286" s="4"/>
      <c r="DH286" s="4"/>
      <c r="DI286" s="4"/>
      <c r="DJ286" s="62"/>
      <c r="DK286" s="62"/>
      <c r="DL286" s="209"/>
      <c r="DM286" s="62"/>
      <c r="DN286" s="13"/>
      <c r="DO286" s="13"/>
      <c r="DP286" s="68"/>
      <c r="DQ286" s="35"/>
      <c r="DR286" s="68"/>
      <c r="DS286" s="68"/>
      <c r="DT286" s="145"/>
      <c r="DU286" s="146"/>
      <c r="DV286" s="146"/>
      <c r="DW286" s="146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</row>
    <row r="287" spans="1:138" x14ac:dyDescent="0.2">
      <c r="A287" s="7"/>
      <c r="B287" s="200"/>
      <c r="C287" s="19"/>
      <c r="D287" s="19"/>
      <c r="E287" s="82"/>
      <c r="F287" s="82"/>
      <c r="G287" s="9"/>
      <c r="H287" s="93"/>
      <c r="I287" s="47"/>
      <c r="J287" s="94"/>
      <c r="K287" s="112"/>
      <c r="L287" s="112"/>
      <c r="M287" s="112"/>
      <c r="N287" s="112"/>
      <c r="O287" s="112"/>
      <c r="P287" s="112"/>
      <c r="Q287" s="112"/>
      <c r="R287" s="112"/>
      <c r="S287" s="112"/>
      <c r="T287" s="96"/>
      <c r="U287" s="112"/>
      <c r="V287" s="112"/>
      <c r="W287" s="112"/>
      <c r="X287" s="96"/>
      <c r="Y287" s="96"/>
      <c r="Z287" s="96"/>
      <c r="AA287" s="96"/>
      <c r="AB287" s="96"/>
      <c r="AC287" s="96"/>
      <c r="AD287" s="96"/>
      <c r="AE287" s="110"/>
      <c r="AF287" s="110"/>
      <c r="AG287" s="112"/>
      <c r="AH287" s="112"/>
      <c r="AI287" s="112"/>
      <c r="AJ287" s="112"/>
      <c r="AK287" s="112"/>
      <c r="AL287" s="112"/>
      <c r="AM287" s="112"/>
      <c r="AN287" s="255"/>
      <c r="AO287" s="251"/>
      <c r="AP287" s="96"/>
      <c r="AQ287" s="112"/>
      <c r="AR287" s="96"/>
      <c r="AS287" s="112"/>
      <c r="AT287" s="96"/>
      <c r="AU287" s="112"/>
      <c r="AV287" s="112"/>
      <c r="AW287" s="112"/>
      <c r="AX287" s="112"/>
      <c r="AY287" s="112"/>
      <c r="AZ287" s="96"/>
      <c r="BA287" s="11"/>
      <c r="BB287" s="11"/>
      <c r="BC287" s="96"/>
      <c r="BD287" s="112"/>
      <c r="BE287" s="96"/>
      <c r="BF287" s="112"/>
      <c r="BG287" s="112"/>
      <c r="BH287" s="112"/>
      <c r="BI287" s="112"/>
      <c r="BJ287" s="112"/>
      <c r="BK287" s="112"/>
      <c r="BL287" s="112"/>
      <c r="BM287" s="112"/>
      <c r="BN287" s="112"/>
      <c r="BO287" s="112"/>
      <c r="BP287" s="112"/>
      <c r="BQ287" s="112"/>
      <c r="BR287" s="112"/>
      <c r="BS287" s="96"/>
      <c r="BT287" s="96"/>
      <c r="BU287" s="112"/>
      <c r="BV287" s="112"/>
      <c r="BW287" s="112"/>
      <c r="BX287" s="96"/>
      <c r="BY287" s="112"/>
      <c r="BZ287" s="112"/>
      <c r="CA287" s="112"/>
      <c r="CB287" s="112"/>
      <c r="CC287" s="112"/>
      <c r="CD287" s="112"/>
      <c r="CE287" s="112"/>
      <c r="CF287" s="112"/>
      <c r="CG287" s="96"/>
      <c r="CH287" s="112"/>
      <c r="CI287" s="112"/>
      <c r="CJ287" s="112"/>
      <c r="CK287" s="112"/>
      <c r="CL287" s="112"/>
      <c r="CM287" s="112"/>
      <c r="CN287" s="96"/>
      <c r="CO287" s="112"/>
      <c r="CP287" s="112"/>
      <c r="CQ287" s="112"/>
      <c r="CR287" s="112"/>
      <c r="CS287" s="112"/>
      <c r="CT287" s="112"/>
      <c r="CU287" s="112"/>
      <c r="CV287" s="112"/>
      <c r="CW287" s="112"/>
      <c r="CX287" s="96"/>
      <c r="CY287" s="112"/>
      <c r="CZ287" s="112"/>
      <c r="DA287" s="26"/>
      <c r="DB287" s="42"/>
      <c r="DC287" s="43"/>
      <c r="DD287" s="62"/>
      <c r="DE287" s="62"/>
      <c r="DF287" s="4"/>
      <c r="DG287" s="4"/>
      <c r="DH287" s="4"/>
      <c r="DI287" s="4"/>
      <c r="DJ287" s="62"/>
      <c r="DK287" s="62"/>
      <c r="DL287" s="209"/>
      <c r="DM287" s="62"/>
      <c r="DN287" s="13"/>
      <c r="DO287" s="13"/>
      <c r="DP287" s="68"/>
      <c r="DQ287" s="35"/>
      <c r="DR287" s="68"/>
      <c r="DS287" s="68"/>
      <c r="DT287" s="145"/>
      <c r="DU287" s="146"/>
      <c r="DV287" s="146"/>
      <c r="DW287" s="146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</row>
    <row r="288" spans="1:138" x14ac:dyDescent="0.2">
      <c r="A288" s="7"/>
      <c r="B288" s="200"/>
      <c r="C288" s="19"/>
      <c r="D288" s="19"/>
      <c r="E288" s="82"/>
      <c r="F288" s="82"/>
      <c r="G288" s="9"/>
      <c r="H288" s="93"/>
      <c r="I288" s="47"/>
      <c r="J288" s="94"/>
      <c r="K288" s="112"/>
      <c r="L288" s="112"/>
      <c r="M288" s="112"/>
      <c r="N288" s="112"/>
      <c r="O288" s="112"/>
      <c r="P288" s="112"/>
      <c r="Q288" s="112"/>
      <c r="R288" s="112"/>
      <c r="S288" s="112"/>
      <c r="T288" s="96"/>
      <c r="U288" s="112"/>
      <c r="V288" s="112"/>
      <c r="W288" s="112"/>
      <c r="X288" s="96"/>
      <c r="Y288" s="96"/>
      <c r="Z288" s="96"/>
      <c r="AA288" s="96"/>
      <c r="AB288" s="96"/>
      <c r="AC288" s="96"/>
      <c r="AD288" s="96"/>
      <c r="AE288" s="110"/>
      <c r="AF288" s="110"/>
      <c r="AG288" s="112"/>
      <c r="AH288" s="112"/>
      <c r="AI288" s="112"/>
      <c r="AJ288" s="112"/>
      <c r="AK288" s="112"/>
      <c r="AL288" s="112"/>
      <c r="AM288" s="112"/>
      <c r="AN288" s="255"/>
      <c r="AO288" s="251"/>
      <c r="AP288" s="96"/>
      <c r="AQ288" s="112"/>
      <c r="AR288" s="96"/>
      <c r="AS288" s="112"/>
      <c r="AT288" s="96"/>
      <c r="AU288" s="112"/>
      <c r="AV288" s="112"/>
      <c r="AW288" s="112"/>
      <c r="AX288" s="112"/>
      <c r="AY288" s="112"/>
      <c r="AZ288" s="96"/>
      <c r="BA288" s="11"/>
      <c r="BB288" s="11"/>
      <c r="BC288" s="96"/>
      <c r="BD288" s="112"/>
      <c r="BE288" s="96"/>
      <c r="BF288" s="112"/>
      <c r="BG288" s="112"/>
      <c r="BH288" s="112"/>
      <c r="BI288" s="112"/>
      <c r="BJ288" s="112"/>
      <c r="BK288" s="112"/>
      <c r="BL288" s="112"/>
      <c r="BM288" s="112"/>
      <c r="BN288" s="112"/>
      <c r="BO288" s="112"/>
      <c r="BP288" s="112"/>
      <c r="BQ288" s="112"/>
      <c r="BR288" s="112"/>
      <c r="BS288" s="96"/>
      <c r="BT288" s="96"/>
      <c r="BU288" s="112"/>
      <c r="BV288" s="96"/>
      <c r="BW288" s="112"/>
      <c r="BX288" s="96"/>
      <c r="BY288" s="112"/>
      <c r="BZ288" s="112"/>
      <c r="CA288" s="112"/>
      <c r="CB288" s="112"/>
      <c r="CC288" s="112"/>
      <c r="CD288" s="112"/>
      <c r="CE288" s="112"/>
      <c r="CF288" s="112"/>
      <c r="CG288" s="96"/>
      <c r="CH288" s="112"/>
      <c r="CI288" s="112"/>
      <c r="CJ288" s="112"/>
      <c r="CK288" s="112"/>
      <c r="CL288" s="112"/>
      <c r="CM288" s="112"/>
      <c r="CN288" s="96"/>
      <c r="CO288" s="112"/>
      <c r="CP288" s="112"/>
      <c r="CQ288" s="112"/>
      <c r="CR288" s="112"/>
      <c r="CS288" s="112"/>
      <c r="CT288" s="112"/>
      <c r="CU288" s="112"/>
      <c r="CV288" s="112"/>
      <c r="CW288" s="112"/>
      <c r="CX288" s="96"/>
      <c r="CY288" s="112"/>
      <c r="CZ288" s="112"/>
      <c r="DA288" s="26"/>
      <c r="DB288" s="42"/>
      <c r="DC288" s="43"/>
      <c r="DD288" s="62"/>
      <c r="DE288" s="62"/>
      <c r="DF288" s="4"/>
      <c r="DG288" s="4"/>
      <c r="DH288" s="4"/>
      <c r="DI288" s="4"/>
      <c r="DJ288" s="62"/>
      <c r="DK288" s="62"/>
      <c r="DL288" s="209"/>
      <c r="DM288" s="62"/>
      <c r="DN288" s="13"/>
      <c r="DO288" s="13"/>
      <c r="DP288" s="68"/>
      <c r="DQ288" s="35"/>
      <c r="DR288" s="68"/>
      <c r="DS288" s="68"/>
      <c r="DT288" s="145"/>
      <c r="DU288" s="146"/>
      <c r="DV288" s="146"/>
      <c r="DW288" s="146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</row>
    <row r="289" spans="1:138" x14ac:dyDescent="0.2">
      <c r="A289" s="7"/>
      <c r="B289" s="189"/>
      <c r="C289" s="19"/>
      <c r="D289" s="19"/>
      <c r="E289" s="82"/>
      <c r="F289" s="82"/>
      <c r="G289" s="9"/>
      <c r="H289" s="93"/>
      <c r="I289" s="47"/>
      <c r="J289" s="94"/>
      <c r="K289" s="112"/>
      <c r="L289" s="112"/>
      <c r="M289" s="112"/>
      <c r="N289" s="112"/>
      <c r="O289" s="112"/>
      <c r="P289" s="112"/>
      <c r="Q289" s="112"/>
      <c r="R289" s="112"/>
      <c r="S289" s="112"/>
      <c r="T289" s="96"/>
      <c r="U289" s="112"/>
      <c r="V289" s="112"/>
      <c r="W289" s="112"/>
      <c r="X289" s="96"/>
      <c r="Y289" s="96"/>
      <c r="Z289" s="96"/>
      <c r="AA289" s="96"/>
      <c r="AB289" s="96"/>
      <c r="AC289" s="96"/>
      <c r="AD289" s="96"/>
      <c r="AE289" s="110"/>
      <c r="AF289" s="110"/>
      <c r="AG289" s="112"/>
      <c r="AH289" s="112"/>
      <c r="AI289" s="112"/>
      <c r="AJ289" s="112"/>
      <c r="AK289" s="112"/>
      <c r="AL289" s="112"/>
      <c r="AM289" s="112"/>
      <c r="AN289" s="255"/>
      <c r="AO289" s="251"/>
      <c r="AP289" s="112"/>
      <c r="AQ289" s="112"/>
      <c r="AR289" s="112"/>
      <c r="AS289" s="112"/>
      <c r="AT289" s="112"/>
      <c r="AU289" s="112"/>
      <c r="AV289" s="96"/>
      <c r="AW289" s="96"/>
      <c r="AX289" s="96"/>
      <c r="AY289" s="112"/>
      <c r="AZ289" s="96"/>
      <c r="BA289" s="11"/>
      <c r="BB289" s="11"/>
      <c r="BC289" s="96"/>
      <c r="BD289" s="112"/>
      <c r="BE289" s="96"/>
      <c r="BF289" s="112"/>
      <c r="BG289" s="112"/>
      <c r="BH289" s="112"/>
      <c r="BI289" s="112"/>
      <c r="BJ289" s="112"/>
      <c r="BK289" s="112"/>
      <c r="BL289" s="112"/>
      <c r="BM289" s="112"/>
      <c r="BN289" s="112"/>
      <c r="BO289" s="112"/>
      <c r="BP289" s="112"/>
      <c r="BQ289" s="112"/>
      <c r="BR289" s="112"/>
      <c r="BS289" s="96"/>
      <c r="BT289" s="96"/>
      <c r="BU289" s="112"/>
      <c r="BV289" s="96"/>
      <c r="BW289" s="112"/>
      <c r="BX289" s="96"/>
      <c r="BY289" s="112"/>
      <c r="BZ289" s="112"/>
      <c r="CA289" s="112"/>
      <c r="CB289" s="112"/>
      <c r="CC289" s="112"/>
      <c r="CD289" s="112"/>
      <c r="CE289" s="112"/>
      <c r="CF289" s="112"/>
      <c r="CG289" s="96"/>
      <c r="CH289" s="112"/>
      <c r="CI289" s="112"/>
      <c r="CJ289" s="112"/>
      <c r="CK289" s="112"/>
      <c r="CL289" s="112"/>
      <c r="CM289" s="112"/>
      <c r="CN289" s="96"/>
      <c r="CO289" s="112"/>
      <c r="CP289" s="112"/>
      <c r="CQ289" s="112"/>
      <c r="CR289" s="112"/>
      <c r="CS289" s="112"/>
      <c r="CT289" s="112"/>
      <c r="CU289" s="112"/>
      <c r="CV289" s="112"/>
      <c r="CW289" s="112"/>
      <c r="CX289" s="96"/>
      <c r="CY289" s="112"/>
      <c r="CZ289" s="112"/>
      <c r="DA289" s="26"/>
      <c r="DB289" s="42"/>
      <c r="DC289" s="43"/>
      <c r="DD289" s="62"/>
      <c r="DE289" s="62"/>
      <c r="DF289" s="4"/>
      <c r="DG289" s="4"/>
      <c r="DH289" s="4"/>
      <c r="DI289" s="4"/>
      <c r="DJ289" s="62"/>
      <c r="DK289" s="62"/>
      <c r="DL289" s="209"/>
      <c r="DM289" s="62"/>
      <c r="DN289" s="13"/>
      <c r="DO289" s="13"/>
      <c r="DP289" s="68"/>
      <c r="DQ289" s="35"/>
      <c r="DR289" s="68"/>
      <c r="DS289" s="68"/>
      <c r="DT289" s="145"/>
      <c r="DU289" s="146"/>
      <c r="DV289" s="146"/>
      <c r="DW289" s="146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</row>
    <row r="290" spans="1:138" x14ac:dyDescent="0.2">
      <c r="A290" s="7"/>
      <c r="B290" s="148"/>
      <c r="C290" s="19"/>
      <c r="D290" s="19"/>
      <c r="E290" s="82"/>
      <c r="F290" s="82"/>
      <c r="G290" s="9"/>
      <c r="H290" s="93"/>
      <c r="I290" s="47"/>
      <c r="J290" s="94"/>
      <c r="K290" s="20"/>
      <c r="L290" s="20"/>
      <c r="M290" s="20"/>
      <c r="N290" s="20"/>
      <c r="O290" s="20"/>
      <c r="P290" s="20"/>
      <c r="Q290" s="20"/>
      <c r="R290" s="20"/>
      <c r="S290" s="20"/>
      <c r="T290" s="96"/>
      <c r="U290" s="20"/>
      <c r="V290" s="20"/>
      <c r="W290" s="20"/>
      <c r="X290" s="96"/>
      <c r="Y290" s="96"/>
      <c r="Z290" s="96"/>
      <c r="AA290" s="96"/>
      <c r="AB290" s="96"/>
      <c r="AC290" s="96"/>
      <c r="AD290" s="96"/>
      <c r="AE290" s="110"/>
      <c r="AF290" s="110"/>
      <c r="AG290" s="20"/>
      <c r="AH290" s="20"/>
      <c r="AI290" s="20"/>
      <c r="AJ290" s="20"/>
      <c r="AK290" s="20"/>
      <c r="AL290" s="20"/>
      <c r="AM290" s="20"/>
      <c r="AN290" s="254"/>
      <c r="AO290" s="251"/>
      <c r="AP290" s="20"/>
      <c r="AQ290" s="20"/>
      <c r="AR290" s="20"/>
      <c r="AS290" s="20"/>
      <c r="AT290" s="20"/>
      <c r="AU290" s="20"/>
      <c r="AV290" s="11"/>
      <c r="AW290" s="11"/>
      <c r="AX290" s="20"/>
      <c r="AY290" s="20"/>
      <c r="AZ290" s="96"/>
      <c r="BA290" s="11"/>
      <c r="BB290" s="11"/>
      <c r="BC290" s="96"/>
      <c r="BD290" s="20"/>
      <c r="BE290" s="96"/>
      <c r="BF290" s="20"/>
      <c r="BG290" s="20"/>
      <c r="BH290" s="20"/>
      <c r="BI290" s="20"/>
      <c r="BJ290" s="20"/>
      <c r="BK290" s="20"/>
      <c r="BL290" s="20"/>
      <c r="BM290" s="20"/>
      <c r="BN290" s="112"/>
      <c r="BO290" s="20"/>
      <c r="BP290" s="20"/>
      <c r="BQ290" s="20"/>
      <c r="BR290" s="20"/>
      <c r="BS290" s="11"/>
      <c r="BT290" s="11"/>
      <c r="BU290" s="112"/>
      <c r="BV290" s="112"/>
      <c r="BW290" s="112"/>
      <c r="BX290" s="11"/>
      <c r="BY290" s="20"/>
      <c r="BZ290" s="20"/>
      <c r="CA290" s="20"/>
      <c r="CB290" s="20"/>
      <c r="CC290" s="20"/>
      <c r="CD290" s="20"/>
      <c r="CE290" s="20"/>
      <c r="CF290" s="20"/>
      <c r="CG290" s="96"/>
      <c r="CH290" s="20"/>
      <c r="CI290" s="20"/>
      <c r="CJ290" s="20"/>
      <c r="CK290" s="20"/>
      <c r="CL290" s="20"/>
      <c r="CM290" s="20"/>
      <c r="CN290" s="11"/>
      <c r="CO290" s="20"/>
      <c r="CP290" s="20"/>
      <c r="CQ290" s="20"/>
      <c r="CR290" s="20"/>
      <c r="CS290" s="20"/>
      <c r="CT290" s="20"/>
      <c r="CU290" s="20"/>
      <c r="CV290" s="20"/>
      <c r="CW290" s="20"/>
      <c r="CX290" s="96"/>
      <c r="CY290" s="112"/>
      <c r="CZ290" s="20"/>
      <c r="DA290" s="26"/>
      <c r="DB290" s="42"/>
      <c r="DC290" s="43"/>
      <c r="DD290" s="62"/>
      <c r="DE290" s="62"/>
      <c r="DF290" s="4"/>
      <c r="DG290" s="4"/>
      <c r="DH290" s="4"/>
      <c r="DI290" s="4"/>
      <c r="DJ290" s="62"/>
      <c r="DK290" s="62"/>
      <c r="DL290" s="209"/>
      <c r="DM290" s="62"/>
      <c r="DN290" s="13"/>
      <c r="DO290" s="13"/>
      <c r="DP290" s="68"/>
      <c r="DQ290" s="35"/>
      <c r="DR290" s="68"/>
      <c r="DS290" s="68"/>
      <c r="DT290" s="145"/>
      <c r="DU290" s="146"/>
      <c r="DV290" s="146"/>
      <c r="DW290" s="146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</row>
    <row r="291" spans="1:138" x14ac:dyDescent="0.2">
      <c r="A291" s="7"/>
      <c r="B291" s="200"/>
      <c r="C291" s="19"/>
      <c r="D291" s="19"/>
      <c r="E291" s="82"/>
      <c r="F291" s="82"/>
      <c r="G291" s="9"/>
      <c r="H291" s="93"/>
      <c r="I291" s="47"/>
      <c r="J291" s="94"/>
      <c r="K291" s="112"/>
      <c r="L291" s="112"/>
      <c r="M291" s="112"/>
      <c r="N291" s="112"/>
      <c r="O291" s="112"/>
      <c r="P291" s="112"/>
      <c r="Q291" s="112"/>
      <c r="R291" s="112"/>
      <c r="S291" s="112"/>
      <c r="T291" s="96"/>
      <c r="U291" s="112"/>
      <c r="V291" s="112"/>
      <c r="W291" s="112"/>
      <c r="X291" s="96"/>
      <c r="Y291" s="96"/>
      <c r="Z291" s="96"/>
      <c r="AA291" s="96"/>
      <c r="AB291" s="96"/>
      <c r="AC291" s="96"/>
      <c r="AD291" s="96"/>
      <c r="AE291" s="110"/>
      <c r="AF291" s="110"/>
      <c r="AG291" s="112"/>
      <c r="AH291" s="112"/>
      <c r="AI291" s="112"/>
      <c r="AJ291" s="112"/>
      <c r="AK291" s="112"/>
      <c r="AL291" s="112"/>
      <c r="AM291" s="112"/>
      <c r="AN291" s="255"/>
      <c r="AO291" s="251"/>
      <c r="AP291" s="112"/>
      <c r="AQ291" s="112"/>
      <c r="AR291" s="112"/>
      <c r="AS291" s="112"/>
      <c r="AT291" s="112"/>
      <c r="AU291" s="112"/>
      <c r="AV291" s="112"/>
      <c r="AW291" s="96"/>
      <c r="AX291" s="112"/>
      <c r="AY291" s="96"/>
      <c r="AZ291" s="96"/>
      <c r="BA291" s="11"/>
      <c r="BB291" s="11"/>
      <c r="BC291" s="96"/>
      <c r="BD291" s="112"/>
      <c r="BE291" s="96"/>
      <c r="BF291" s="112"/>
      <c r="BG291" s="112"/>
      <c r="BH291" s="112"/>
      <c r="BI291" s="112"/>
      <c r="BJ291" s="112"/>
      <c r="BK291" s="112"/>
      <c r="BL291" s="96"/>
      <c r="BM291" s="112"/>
      <c r="BN291" s="112"/>
      <c r="BO291" s="112"/>
      <c r="BP291" s="112"/>
      <c r="BQ291" s="112"/>
      <c r="BR291" s="112"/>
      <c r="BS291" s="96"/>
      <c r="BT291" s="96"/>
      <c r="BU291" s="112"/>
      <c r="BV291" s="112"/>
      <c r="BW291" s="112"/>
      <c r="BX291" s="96"/>
      <c r="BY291" s="112"/>
      <c r="BZ291" s="112"/>
      <c r="CA291" s="112"/>
      <c r="CB291" s="112"/>
      <c r="CC291" s="112"/>
      <c r="CD291" s="112"/>
      <c r="CE291" s="112"/>
      <c r="CF291" s="112"/>
      <c r="CG291" s="96"/>
      <c r="CH291" s="112"/>
      <c r="CI291" s="112"/>
      <c r="CJ291" s="112"/>
      <c r="CK291" s="112"/>
      <c r="CL291" s="112"/>
      <c r="CM291" s="112"/>
      <c r="CN291" s="96"/>
      <c r="CO291" s="112"/>
      <c r="CP291" s="112"/>
      <c r="CQ291" s="112"/>
      <c r="CR291" s="112"/>
      <c r="CS291" s="112"/>
      <c r="CT291" s="112"/>
      <c r="CU291" s="112"/>
      <c r="CV291" s="112"/>
      <c r="CW291" s="112"/>
      <c r="CX291" s="96"/>
      <c r="CY291" s="112"/>
      <c r="CZ291" s="112"/>
      <c r="DA291" s="26"/>
      <c r="DB291" s="42"/>
      <c r="DC291" s="43"/>
      <c r="DD291" s="62"/>
      <c r="DE291" s="62"/>
      <c r="DF291" s="4"/>
      <c r="DG291" s="4"/>
      <c r="DH291" s="4"/>
      <c r="DI291" s="4"/>
      <c r="DJ291" s="62"/>
      <c r="DK291" s="62"/>
      <c r="DL291" s="209"/>
      <c r="DM291" s="62"/>
      <c r="DN291" s="13"/>
      <c r="DO291" s="13"/>
      <c r="DP291" s="68"/>
      <c r="DQ291" s="35"/>
      <c r="DR291" s="68"/>
      <c r="DS291" s="68"/>
      <c r="DT291" s="145"/>
      <c r="DU291" s="146"/>
      <c r="DV291" s="146"/>
      <c r="DW291" s="146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</row>
    <row r="292" spans="1:138" x14ac:dyDescent="0.2">
      <c r="A292" s="7"/>
      <c r="B292" s="189"/>
      <c r="C292" s="19"/>
      <c r="D292" s="19"/>
      <c r="E292" s="82"/>
      <c r="F292" s="82"/>
      <c r="G292" s="9"/>
      <c r="H292" s="93"/>
      <c r="I292" s="47"/>
      <c r="J292" s="94"/>
      <c r="K292" s="112"/>
      <c r="L292" s="112"/>
      <c r="M292" s="112"/>
      <c r="N292" s="112"/>
      <c r="O292" s="112"/>
      <c r="P292" s="112"/>
      <c r="Q292" s="112"/>
      <c r="R292" s="112"/>
      <c r="S292" s="112"/>
      <c r="T292" s="96"/>
      <c r="U292" s="112"/>
      <c r="V292" s="112"/>
      <c r="W292" s="112"/>
      <c r="X292" s="96"/>
      <c r="Y292" s="96"/>
      <c r="Z292" s="96"/>
      <c r="AA292" s="96"/>
      <c r="AB292" s="96"/>
      <c r="AC292" s="96"/>
      <c r="AD292" s="96"/>
      <c r="AE292" s="110"/>
      <c r="AF292" s="110"/>
      <c r="AG292" s="112"/>
      <c r="AH292" s="112"/>
      <c r="AI292" s="112"/>
      <c r="AJ292" s="112"/>
      <c r="AK292" s="112"/>
      <c r="AL292" s="112"/>
      <c r="AM292" s="112"/>
      <c r="AN292" s="255"/>
      <c r="AO292" s="251"/>
      <c r="AP292" s="112"/>
      <c r="AQ292" s="112"/>
      <c r="AR292" s="112"/>
      <c r="AS292" s="112"/>
      <c r="AT292" s="112"/>
      <c r="AU292" s="112"/>
      <c r="AV292" s="112"/>
      <c r="AW292" s="96"/>
      <c r="AX292" s="112"/>
      <c r="AY292" s="112"/>
      <c r="AZ292" s="96"/>
      <c r="BA292" s="11"/>
      <c r="BB292" s="11"/>
      <c r="BC292" s="96"/>
      <c r="BD292" s="112"/>
      <c r="BE292" s="96"/>
      <c r="BF292" s="112"/>
      <c r="BG292" s="112"/>
      <c r="BH292" s="112"/>
      <c r="BI292" s="112"/>
      <c r="BJ292" s="112"/>
      <c r="BK292" s="112"/>
      <c r="BL292" s="96"/>
      <c r="BM292" s="96"/>
      <c r="BN292" s="112"/>
      <c r="BO292" s="112"/>
      <c r="BP292" s="112"/>
      <c r="BQ292" s="112"/>
      <c r="BR292" s="112"/>
      <c r="BS292" s="96"/>
      <c r="BT292" s="96"/>
      <c r="BU292" s="112"/>
      <c r="BV292" s="96"/>
      <c r="BW292" s="112"/>
      <c r="BX292" s="96"/>
      <c r="BY292" s="112"/>
      <c r="BZ292" s="112"/>
      <c r="CA292" s="112"/>
      <c r="CB292" s="112"/>
      <c r="CC292" s="112"/>
      <c r="CD292" s="112"/>
      <c r="CE292" s="112"/>
      <c r="CF292" s="112"/>
      <c r="CG292" s="96"/>
      <c r="CH292" s="112"/>
      <c r="CI292" s="112"/>
      <c r="CJ292" s="112"/>
      <c r="CK292" s="112"/>
      <c r="CL292" s="112"/>
      <c r="CM292" s="112"/>
      <c r="CN292" s="96"/>
      <c r="CO292" s="112"/>
      <c r="CP292" s="112"/>
      <c r="CQ292" s="112"/>
      <c r="CR292" s="112"/>
      <c r="CS292" s="112"/>
      <c r="CT292" s="112"/>
      <c r="CU292" s="112"/>
      <c r="CV292" s="112"/>
      <c r="CW292" s="112"/>
      <c r="CX292" s="96"/>
      <c r="CY292" s="112"/>
      <c r="CZ292" s="112"/>
      <c r="DA292" s="26"/>
      <c r="DB292" s="42"/>
      <c r="DC292" s="43"/>
      <c r="DD292" s="62"/>
      <c r="DE292" s="62"/>
      <c r="DF292" s="4"/>
      <c r="DG292" s="4"/>
      <c r="DH292" s="4"/>
      <c r="DI292" s="4"/>
      <c r="DJ292" s="62"/>
      <c r="DK292" s="62"/>
      <c r="DL292" s="209"/>
      <c r="DM292" s="62"/>
      <c r="DN292" s="13"/>
      <c r="DO292" s="13"/>
      <c r="DP292" s="68"/>
      <c r="DQ292" s="35"/>
      <c r="DR292" s="68"/>
      <c r="DS292" s="68"/>
      <c r="DT292" s="145"/>
      <c r="DU292" s="146"/>
      <c r="DV292" s="146"/>
      <c r="DW292" s="146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</row>
    <row r="293" spans="1:138" x14ac:dyDescent="0.2">
      <c r="A293" s="7"/>
      <c r="B293" s="148"/>
      <c r="C293" s="19"/>
      <c r="D293" s="19"/>
      <c r="E293" s="82"/>
      <c r="F293" s="82"/>
      <c r="G293" s="9"/>
      <c r="H293" s="93"/>
      <c r="I293" s="47"/>
      <c r="J293" s="94"/>
      <c r="K293" s="20"/>
      <c r="L293" s="20"/>
      <c r="M293" s="20"/>
      <c r="N293" s="20"/>
      <c r="O293" s="20"/>
      <c r="P293" s="20"/>
      <c r="Q293" s="20"/>
      <c r="R293" s="20"/>
      <c r="S293" s="20"/>
      <c r="T293" s="96"/>
      <c r="U293" s="20"/>
      <c r="V293" s="20"/>
      <c r="W293" s="20"/>
      <c r="X293" s="96"/>
      <c r="Y293" s="96"/>
      <c r="Z293" s="96"/>
      <c r="AA293" s="96"/>
      <c r="AB293" s="96"/>
      <c r="AC293" s="96"/>
      <c r="AD293" s="96"/>
      <c r="AE293" s="110"/>
      <c r="AF293" s="110"/>
      <c r="AG293" s="20"/>
      <c r="AH293" s="20"/>
      <c r="AI293" s="20"/>
      <c r="AJ293" s="20"/>
      <c r="AK293" s="20"/>
      <c r="AL293" s="20"/>
      <c r="AM293" s="20"/>
      <c r="AN293" s="254"/>
      <c r="AO293" s="251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96"/>
      <c r="BA293" s="11"/>
      <c r="BB293" s="11"/>
      <c r="BC293" s="96"/>
      <c r="BD293" s="20"/>
      <c r="BE293" s="96"/>
      <c r="BF293" s="20"/>
      <c r="BG293" s="20"/>
      <c r="BH293" s="20"/>
      <c r="BI293" s="20"/>
      <c r="BJ293" s="20"/>
      <c r="BK293" s="20"/>
      <c r="BL293" s="11"/>
      <c r="BM293" s="11"/>
      <c r="BN293" s="112"/>
      <c r="BO293" s="20"/>
      <c r="BP293" s="20"/>
      <c r="BQ293" s="20"/>
      <c r="BR293" s="20"/>
      <c r="BS293" s="11"/>
      <c r="BT293" s="11"/>
      <c r="BU293" s="112"/>
      <c r="BV293" s="96"/>
      <c r="BW293" s="112"/>
      <c r="BX293" s="11"/>
      <c r="BY293" s="20"/>
      <c r="BZ293" s="20"/>
      <c r="CA293" s="20"/>
      <c r="CB293" s="20"/>
      <c r="CC293" s="20"/>
      <c r="CD293" s="20"/>
      <c r="CE293" s="20"/>
      <c r="CF293" s="20"/>
      <c r="CG293" s="96"/>
      <c r="CH293" s="20"/>
      <c r="CI293" s="20"/>
      <c r="CJ293" s="20"/>
      <c r="CK293" s="20"/>
      <c r="CL293" s="20"/>
      <c r="CM293" s="20"/>
      <c r="CN293" s="11"/>
      <c r="CO293" s="20"/>
      <c r="CP293" s="20"/>
      <c r="CQ293" s="20"/>
      <c r="CR293" s="20"/>
      <c r="CS293" s="20"/>
      <c r="CT293" s="20"/>
      <c r="CU293" s="20"/>
      <c r="CV293" s="20"/>
      <c r="CW293" s="20"/>
      <c r="CX293" s="96"/>
      <c r="CY293" s="112"/>
      <c r="CZ293" s="20"/>
      <c r="DA293" s="26"/>
      <c r="DB293" s="53"/>
      <c r="DC293" s="68"/>
      <c r="DD293" s="62"/>
      <c r="DE293" s="209"/>
      <c r="DF293" s="115"/>
      <c r="DG293" s="4"/>
      <c r="DH293" s="115"/>
      <c r="DI293" s="115"/>
      <c r="DJ293" s="62"/>
      <c r="DK293" s="62"/>
      <c r="DL293" s="209"/>
      <c r="DM293" s="62"/>
      <c r="DN293" s="13"/>
      <c r="DO293" s="13"/>
      <c r="DP293" s="68"/>
      <c r="DQ293" s="35"/>
      <c r="DR293" s="68"/>
      <c r="DS293" s="68"/>
      <c r="DT293" s="145"/>
      <c r="DU293" s="146"/>
      <c r="DV293" s="146"/>
      <c r="DW293" s="146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</row>
    <row r="294" spans="1:138" x14ac:dyDescent="0.2">
      <c r="A294" s="102"/>
      <c r="B294" s="189"/>
      <c r="C294" s="19"/>
      <c r="D294" s="19"/>
      <c r="E294" s="82"/>
      <c r="F294" s="82"/>
      <c r="G294" s="9"/>
      <c r="H294" s="93"/>
      <c r="I294" s="47"/>
      <c r="J294" s="94"/>
      <c r="K294" s="112"/>
      <c r="L294" s="112"/>
      <c r="M294" s="112"/>
      <c r="N294" s="112"/>
      <c r="O294" s="112"/>
      <c r="P294" s="112"/>
      <c r="Q294" s="112"/>
      <c r="R294" s="112"/>
      <c r="S294" s="112"/>
      <c r="T294" s="96"/>
      <c r="U294" s="112"/>
      <c r="V294" s="112"/>
      <c r="W294" s="112"/>
      <c r="X294" s="96"/>
      <c r="Y294" s="96"/>
      <c r="Z294" s="96"/>
      <c r="AA294" s="96"/>
      <c r="AB294" s="96"/>
      <c r="AC294" s="96"/>
      <c r="AD294" s="96"/>
      <c r="AE294" s="110"/>
      <c r="AF294" s="110"/>
      <c r="AG294" s="112"/>
      <c r="AH294" s="112"/>
      <c r="AI294" s="112"/>
      <c r="AJ294" s="112"/>
      <c r="AK294" s="112"/>
      <c r="AL294" s="112"/>
      <c r="AM294" s="112"/>
      <c r="AN294" s="255"/>
      <c r="AO294" s="251"/>
      <c r="AP294" s="112"/>
      <c r="AQ294" s="112"/>
      <c r="AR294" s="112"/>
      <c r="AS294" s="96"/>
      <c r="AT294" s="112"/>
      <c r="AU294" s="96"/>
      <c r="AV294" s="112"/>
      <c r="AW294" s="112"/>
      <c r="AX294" s="112"/>
      <c r="AY294" s="112"/>
      <c r="AZ294" s="96"/>
      <c r="BA294" s="11"/>
      <c r="BB294" s="11"/>
      <c r="BC294" s="96"/>
      <c r="BD294" s="112"/>
      <c r="BE294" s="96"/>
      <c r="BF294" s="112"/>
      <c r="BG294" s="112"/>
      <c r="BH294" s="112"/>
      <c r="BI294" s="112"/>
      <c r="BJ294" s="112"/>
      <c r="BK294" s="112"/>
      <c r="BL294" s="11"/>
      <c r="BM294" s="11"/>
      <c r="BN294" s="112"/>
      <c r="BO294" s="112"/>
      <c r="BP294" s="112"/>
      <c r="BQ294" s="112"/>
      <c r="BR294" s="112"/>
      <c r="BS294" s="96"/>
      <c r="BT294" s="96"/>
      <c r="BU294" s="112"/>
      <c r="BV294" s="112"/>
      <c r="BW294" s="112"/>
      <c r="BX294" s="96"/>
      <c r="BY294" s="112"/>
      <c r="BZ294" s="112"/>
      <c r="CA294" s="112"/>
      <c r="CB294" s="112"/>
      <c r="CC294" s="112"/>
      <c r="CD294" s="112"/>
      <c r="CE294" s="112"/>
      <c r="CF294" s="112"/>
      <c r="CG294" s="96"/>
      <c r="CH294" s="112"/>
      <c r="CI294" s="112"/>
      <c r="CJ294" s="112"/>
      <c r="CK294" s="112"/>
      <c r="CL294" s="112"/>
      <c r="CM294" s="112"/>
      <c r="CN294" s="96"/>
      <c r="CO294" s="112"/>
      <c r="CP294" s="112"/>
      <c r="CQ294" s="112"/>
      <c r="CR294" s="112"/>
      <c r="CS294" s="112"/>
      <c r="CT294" s="112"/>
      <c r="CU294" s="112"/>
      <c r="CV294" s="112"/>
      <c r="CW294" s="112"/>
      <c r="CX294" s="96"/>
      <c r="CY294" s="112"/>
      <c r="CZ294" s="112"/>
      <c r="DA294" s="26"/>
      <c r="DB294" s="42"/>
      <c r="DC294" s="43"/>
      <c r="DD294" s="62"/>
      <c r="DE294" s="62"/>
      <c r="DF294" s="4"/>
      <c r="DG294" s="4"/>
      <c r="DH294" s="4"/>
      <c r="DI294" s="4"/>
      <c r="DJ294" s="62"/>
      <c r="DK294" s="62"/>
      <c r="DL294" s="209"/>
      <c r="DM294" s="62"/>
      <c r="DN294" s="13"/>
      <c r="DO294" s="13"/>
      <c r="DP294" s="68"/>
      <c r="DQ294" s="35"/>
      <c r="DR294" s="68"/>
      <c r="DS294" s="68"/>
      <c r="DT294" s="145"/>
      <c r="DU294" s="146"/>
      <c r="DV294" s="146"/>
      <c r="DW294" s="146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</row>
    <row r="295" spans="1:138" x14ac:dyDescent="0.2">
      <c r="A295" s="102"/>
      <c r="B295" s="148"/>
      <c r="C295" s="19"/>
      <c r="D295" s="19"/>
      <c r="E295" s="82"/>
      <c r="F295" s="82"/>
      <c r="G295" s="9"/>
      <c r="H295" s="93"/>
      <c r="I295" s="47"/>
      <c r="J295" s="94"/>
      <c r="K295" s="20"/>
      <c r="L295" s="20"/>
      <c r="M295" s="20"/>
      <c r="N295" s="20"/>
      <c r="O295" s="20"/>
      <c r="P295" s="20"/>
      <c r="Q295" s="20"/>
      <c r="R295" s="20"/>
      <c r="S295" s="20"/>
      <c r="T295" s="96"/>
      <c r="U295" s="20"/>
      <c r="V295" s="20"/>
      <c r="W295" s="20"/>
      <c r="X295" s="96"/>
      <c r="Y295" s="96"/>
      <c r="Z295" s="96"/>
      <c r="AA295" s="96"/>
      <c r="AB295" s="96"/>
      <c r="AC295" s="96"/>
      <c r="AD295" s="96"/>
      <c r="AE295" s="110"/>
      <c r="AF295" s="110"/>
      <c r="AG295" s="20"/>
      <c r="AH295" s="20"/>
      <c r="AI295" s="20"/>
      <c r="AJ295" s="20"/>
      <c r="AK295" s="20"/>
      <c r="AL295" s="20"/>
      <c r="AM295" s="20"/>
      <c r="AN295" s="254"/>
      <c r="AO295" s="251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96"/>
      <c r="BA295" s="11"/>
      <c r="BB295" s="96"/>
      <c r="BC295" s="96"/>
      <c r="BD295" s="20"/>
      <c r="BE295" s="96"/>
      <c r="BF295" s="20"/>
      <c r="BG295" s="20"/>
      <c r="BH295" s="20"/>
      <c r="BI295" s="20"/>
      <c r="BJ295" s="20"/>
      <c r="BK295" s="20"/>
      <c r="BL295" s="11"/>
      <c r="BM295" s="11"/>
      <c r="BN295" s="112"/>
      <c r="BO295" s="20"/>
      <c r="BP295" s="20"/>
      <c r="BQ295" s="20"/>
      <c r="BR295" s="20"/>
      <c r="BS295" s="11"/>
      <c r="BT295" s="11"/>
      <c r="BU295" s="112"/>
      <c r="BV295" s="96"/>
      <c r="BW295" s="112"/>
      <c r="BX295" s="11"/>
      <c r="BY295" s="20"/>
      <c r="BZ295" s="20"/>
      <c r="CA295" s="20"/>
      <c r="CB295" s="20"/>
      <c r="CC295" s="20"/>
      <c r="CD295" s="20"/>
      <c r="CE295" s="20"/>
      <c r="CF295" s="20"/>
      <c r="CG295" s="96"/>
      <c r="CH295" s="20"/>
      <c r="CI295" s="20"/>
      <c r="CJ295" s="20"/>
      <c r="CK295" s="20"/>
      <c r="CL295" s="20"/>
      <c r="CM295" s="20"/>
      <c r="CN295" s="11"/>
      <c r="CO295" s="20"/>
      <c r="CP295" s="20"/>
      <c r="CQ295" s="20"/>
      <c r="CR295" s="20"/>
      <c r="CS295" s="20"/>
      <c r="CT295" s="20"/>
      <c r="CU295" s="20"/>
      <c r="CV295" s="20"/>
      <c r="CW295" s="20"/>
      <c r="CX295" s="96"/>
      <c r="CY295" s="112"/>
      <c r="CZ295" s="20"/>
      <c r="DA295" s="26"/>
      <c r="DB295" s="53"/>
      <c r="DC295" s="68"/>
      <c r="DD295" s="62"/>
      <c r="DE295" s="209"/>
      <c r="DF295" s="115"/>
      <c r="DG295" s="4"/>
      <c r="DH295" s="115"/>
      <c r="DI295" s="115"/>
      <c r="DJ295" s="62"/>
      <c r="DK295" s="62"/>
      <c r="DL295" s="209"/>
      <c r="DM295" s="62"/>
      <c r="DN295" s="13"/>
      <c r="DO295" s="13"/>
      <c r="DP295" s="68"/>
      <c r="DQ295" s="35"/>
      <c r="DR295" s="68"/>
      <c r="DS295" s="68"/>
      <c r="DT295" s="145"/>
      <c r="DU295" s="146"/>
      <c r="DV295" s="146"/>
      <c r="DW295" s="146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</row>
    <row r="296" spans="1:138" x14ac:dyDescent="0.2">
      <c r="A296" s="102"/>
      <c r="B296" s="189"/>
      <c r="C296" s="19"/>
      <c r="D296" s="19"/>
      <c r="E296" s="82"/>
      <c r="F296" s="82"/>
      <c r="G296" s="9"/>
      <c r="H296" s="93"/>
      <c r="I296" s="47"/>
      <c r="J296" s="94"/>
      <c r="K296" s="112"/>
      <c r="L296" s="112"/>
      <c r="M296" s="112"/>
      <c r="N296" s="112"/>
      <c r="O296" s="112"/>
      <c r="P296" s="112"/>
      <c r="Q296" s="112"/>
      <c r="R296" s="112"/>
      <c r="S296" s="112"/>
      <c r="T296" s="96"/>
      <c r="U296" s="112"/>
      <c r="V296" s="112"/>
      <c r="W296" s="112"/>
      <c r="X296" s="96"/>
      <c r="Y296" s="96"/>
      <c r="Z296" s="96"/>
      <c r="AA296" s="96"/>
      <c r="AB296" s="96"/>
      <c r="AC296" s="96"/>
      <c r="AD296" s="96"/>
      <c r="AE296" s="110"/>
      <c r="AF296" s="110"/>
      <c r="AG296" s="112"/>
      <c r="AH296" s="112"/>
      <c r="AI296" s="112"/>
      <c r="AJ296" s="112"/>
      <c r="AK296" s="112"/>
      <c r="AL296" s="112"/>
      <c r="AM296" s="112"/>
      <c r="AN296" s="255"/>
      <c r="AO296" s="251"/>
      <c r="AP296" s="112"/>
      <c r="AQ296" s="112"/>
      <c r="AR296" s="112"/>
      <c r="AS296" s="112"/>
      <c r="AT296" s="112"/>
      <c r="AU296" s="112"/>
      <c r="AV296" s="112"/>
      <c r="AW296" s="112"/>
      <c r="AX296" s="112"/>
      <c r="AY296" s="112"/>
      <c r="AZ296" s="96"/>
      <c r="BA296" s="11"/>
      <c r="BB296" s="11"/>
      <c r="BC296" s="96"/>
      <c r="BD296" s="112"/>
      <c r="BE296" s="96"/>
      <c r="BF296" s="112"/>
      <c r="BG296" s="112"/>
      <c r="BH296" s="112"/>
      <c r="BI296" s="112"/>
      <c r="BJ296" s="112"/>
      <c r="BK296" s="112"/>
      <c r="BL296" s="96"/>
      <c r="BM296" s="96"/>
      <c r="BN296" s="112"/>
      <c r="BO296" s="112"/>
      <c r="BP296" s="112"/>
      <c r="BQ296" s="112"/>
      <c r="BR296" s="112"/>
      <c r="BS296" s="96"/>
      <c r="BT296" s="96"/>
      <c r="BU296" s="112"/>
      <c r="BV296" s="112"/>
      <c r="BW296" s="112"/>
      <c r="BX296" s="96"/>
      <c r="BY296" s="112"/>
      <c r="BZ296" s="112"/>
      <c r="CA296" s="112"/>
      <c r="CB296" s="112"/>
      <c r="CC296" s="112"/>
      <c r="CD296" s="112"/>
      <c r="CE296" s="112"/>
      <c r="CF296" s="112"/>
      <c r="CG296" s="96"/>
      <c r="CH296" s="112"/>
      <c r="CI296" s="112"/>
      <c r="CJ296" s="112"/>
      <c r="CK296" s="112"/>
      <c r="CL296" s="112"/>
      <c r="CM296" s="112"/>
      <c r="CN296" s="96"/>
      <c r="CO296" s="112"/>
      <c r="CP296" s="112"/>
      <c r="CQ296" s="112"/>
      <c r="CR296" s="112"/>
      <c r="CS296" s="112"/>
      <c r="CT296" s="112"/>
      <c r="CU296" s="112"/>
      <c r="CV296" s="112"/>
      <c r="CW296" s="112"/>
      <c r="CX296" s="96"/>
      <c r="CY296" s="112"/>
      <c r="CZ296" s="112"/>
      <c r="DA296" s="26"/>
      <c r="DB296" s="42"/>
      <c r="DC296" s="43"/>
      <c r="DD296" s="62"/>
      <c r="DE296" s="62"/>
      <c r="DF296" s="4"/>
      <c r="DG296" s="4"/>
      <c r="DH296" s="4"/>
      <c r="DI296" s="4"/>
      <c r="DJ296" s="62"/>
      <c r="DK296" s="62"/>
      <c r="DL296" s="209"/>
      <c r="DM296" s="62"/>
      <c r="DN296" s="13"/>
      <c r="DO296" s="13"/>
      <c r="DP296" s="68"/>
      <c r="DQ296" s="35"/>
      <c r="DR296" s="68"/>
      <c r="DS296" s="68"/>
      <c r="DT296" s="145"/>
      <c r="DU296" s="146"/>
      <c r="DV296" s="146"/>
      <c r="DW296" s="146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</row>
    <row r="297" spans="1:138" x14ac:dyDescent="0.2">
      <c r="A297" s="102"/>
      <c r="B297" s="189"/>
      <c r="C297" s="19"/>
      <c r="D297" s="19"/>
      <c r="E297" s="82"/>
      <c r="F297" s="82"/>
      <c r="G297" s="9"/>
      <c r="H297" s="93"/>
      <c r="I297" s="47"/>
      <c r="J297" s="94"/>
      <c r="K297" s="112"/>
      <c r="L297" s="112"/>
      <c r="M297" s="112"/>
      <c r="N297" s="112"/>
      <c r="O297" s="112"/>
      <c r="P297" s="112"/>
      <c r="Q297" s="112"/>
      <c r="R297" s="112"/>
      <c r="S297" s="112"/>
      <c r="T297" s="96"/>
      <c r="U297" s="112"/>
      <c r="V297" s="112"/>
      <c r="W297" s="112"/>
      <c r="X297" s="96"/>
      <c r="Y297" s="96"/>
      <c r="Z297" s="96"/>
      <c r="AA297" s="96"/>
      <c r="AB297" s="96"/>
      <c r="AC297" s="96"/>
      <c r="AD297" s="96"/>
      <c r="AE297" s="110"/>
      <c r="AF297" s="110"/>
      <c r="AG297" s="112"/>
      <c r="AH297" s="112"/>
      <c r="AI297" s="112"/>
      <c r="AJ297" s="112"/>
      <c r="AK297" s="112"/>
      <c r="AL297" s="112"/>
      <c r="AM297" s="112"/>
      <c r="AN297" s="255"/>
      <c r="AO297" s="251"/>
      <c r="AP297" s="112"/>
      <c r="AQ297" s="112"/>
      <c r="AR297" s="112"/>
      <c r="AS297" s="112"/>
      <c r="AT297" s="112"/>
      <c r="AU297" s="112"/>
      <c r="AV297" s="112"/>
      <c r="AW297" s="112"/>
      <c r="AX297" s="112"/>
      <c r="AY297" s="112"/>
      <c r="AZ297" s="96"/>
      <c r="BA297" s="11"/>
      <c r="BB297" s="11"/>
      <c r="BC297" s="96"/>
      <c r="BD297" s="112"/>
      <c r="BE297" s="96"/>
      <c r="BF297" s="112"/>
      <c r="BG297" s="112"/>
      <c r="BH297" s="112"/>
      <c r="BI297" s="112"/>
      <c r="BJ297" s="112"/>
      <c r="BK297" s="112"/>
      <c r="BL297" s="96"/>
      <c r="BM297" s="112"/>
      <c r="BN297" s="112"/>
      <c r="BO297" s="112"/>
      <c r="BP297" s="112"/>
      <c r="BQ297" s="112"/>
      <c r="BR297" s="112"/>
      <c r="BS297" s="96"/>
      <c r="BT297" s="96"/>
      <c r="BU297" s="112"/>
      <c r="BV297" s="96"/>
      <c r="BW297" s="112"/>
      <c r="BX297" s="96"/>
      <c r="BY297" s="112"/>
      <c r="BZ297" s="112"/>
      <c r="CA297" s="112"/>
      <c r="CB297" s="112"/>
      <c r="CC297" s="112"/>
      <c r="CD297" s="112"/>
      <c r="CE297" s="112"/>
      <c r="CF297" s="96"/>
      <c r="CG297" s="96"/>
      <c r="CH297" s="112"/>
      <c r="CI297" s="112"/>
      <c r="CJ297" s="112"/>
      <c r="CK297" s="112"/>
      <c r="CL297" s="112"/>
      <c r="CM297" s="112"/>
      <c r="CN297" s="96"/>
      <c r="CO297" s="112"/>
      <c r="CP297" s="112"/>
      <c r="CQ297" s="112"/>
      <c r="CR297" s="112"/>
      <c r="CS297" s="112"/>
      <c r="CT297" s="112"/>
      <c r="CU297" s="112"/>
      <c r="CV297" s="112"/>
      <c r="CW297" s="112"/>
      <c r="CX297" s="96"/>
      <c r="CY297" s="112"/>
      <c r="CZ297" s="112"/>
      <c r="DA297" s="26"/>
      <c r="DB297" s="42"/>
      <c r="DC297" s="43"/>
      <c r="DD297" s="62"/>
      <c r="DE297" s="62"/>
      <c r="DF297" s="4"/>
      <c r="DG297" s="4"/>
      <c r="DH297" s="4"/>
      <c r="DI297" s="4"/>
      <c r="DJ297" s="62"/>
      <c r="DK297" s="62"/>
      <c r="DL297" s="209"/>
      <c r="DM297" s="62"/>
      <c r="DN297" s="13"/>
      <c r="DO297" s="13"/>
      <c r="DP297" s="68"/>
      <c r="DQ297" s="35"/>
      <c r="DR297" s="68"/>
      <c r="DS297" s="68"/>
      <c r="DT297" s="145"/>
      <c r="DU297" s="146"/>
      <c r="DV297" s="146"/>
      <c r="DW297" s="146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</row>
    <row r="298" spans="1:138" x14ac:dyDescent="0.2">
      <c r="A298" s="102"/>
      <c r="B298" s="148"/>
      <c r="C298" s="19"/>
      <c r="D298" s="19"/>
      <c r="E298" s="82"/>
      <c r="F298" s="82"/>
      <c r="G298" s="9"/>
      <c r="H298" s="93"/>
      <c r="I298" s="47"/>
      <c r="J298" s="94"/>
      <c r="K298" s="20"/>
      <c r="L298" s="20"/>
      <c r="M298" s="20"/>
      <c r="N298" s="20"/>
      <c r="O298" s="20"/>
      <c r="P298" s="20"/>
      <c r="Q298" s="20"/>
      <c r="R298" s="20"/>
      <c r="S298" s="20"/>
      <c r="T298" s="96"/>
      <c r="U298" s="20"/>
      <c r="V298" s="20"/>
      <c r="W298" s="20"/>
      <c r="X298" s="96"/>
      <c r="Y298" s="96"/>
      <c r="Z298" s="96"/>
      <c r="AA298" s="96"/>
      <c r="AB298" s="96"/>
      <c r="AC298" s="96"/>
      <c r="AD298" s="96"/>
      <c r="AE298" s="110"/>
      <c r="AF298" s="110"/>
      <c r="AG298" s="20"/>
      <c r="AH298" s="20"/>
      <c r="AI298" s="20"/>
      <c r="AJ298" s="20"/>
      <c r="AK298" s="20"/>
      <c r="AL298" s="20"/>
      <c r="AM298" s="20"/>
      <c r="AN298" s="254"/>
      <c r="AO298" s="251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96"/>
      <c r="BA298" s="11"/>
      <c r="BB298" s="11"/>
      <c r="BC298" s="96"/>
      <c r="BD298" s="20"/>
      <c r="BE298" s="96"/>
      <c r="BF298" s="20"/>
      <c r="BG298" s="20"/>
      <c r="BH298" s="20"/>
      <c r="BI298" s="20"/>
      <c r="BJ298" s="20"/>
      <c r="BK298" s="20"/>
      <c r="BL298" s="11"/>
      <c r="BM298" s="11"/>
      <c r="BN298" s="112"/>
      <c r="BO298" s="20"/>
      <c r="BP298" s="20"/>
      <c r="BQ298" s="20"/>
      <c r="BR298" s="112"/>
      <c r="BS298" s="11"/>
      <c r="BT298" s="11"/>
      <c r="BU298" s="112"/>
      <c r="BV298" s="112"/>
      <c r="BW298" s="112"/>
      <c r="BX298" s="11"/>
      <c r="BY298" s="20"/>
      <c r="BZ298" s="20"/>
      <c r="CA298" s="20"/>
      <c r="CB298" s="20"/>
      <c r="CC298" s="20"/>
      <c r="CD298" s="20"/>
      <c r="CE298" s="20"/>
      <c r="CF298" s="20"/>
      <c r="CG298" s="96"/>
      <c r="CH298" s="20"/>
      <c r="CI298" s="20"/>
      <c r="CJ298" s="20"/>
      <c r="CK298" s="20"/>
      <c r="CL298" s="20"/>
      <c r="CM298" s="20"/>
      <c r="CN298" s="11"/>
      <c r="CO298" s="20"/>
      <c r="CP298" s="11"/>
      <c r="CQ298" s="20"/>
      <c r="CR298" s="20"/>
      <c r="CS298" s="20"/>
      <c r="CT298" s="20"/>
      <c r="CU298" s="20"/>
      <c r="CV298" s="20"/>
      <c r="CW298" s="20"/>
      <c r="CX298" s="96"/>
      <c r="CY298" s="112"/>
      <c r="CZ298" s="20"/>
      <c r="DA298" s="26"/>
      <c r="DB298" s="42"/>
      <c r="DC298" s="43"/>
      <c r="DD298" s="62"/>
      <c r="DE298" s="62"/>
      <c r="DF298" s="4"/>
      <c r="DG298" s="4"/>
      <c r="DH298" s="4"/>
      <c r="DI298" s="4"/>
      <c r="DJ298" s="62"/>
      <c r="DK298" s="62"/>
      <c r="DL298" s="209"/>
      <c r="DM298" s="62"/>
      <c r="DN298" s="13"/>
      <c r="DO298" s="13"/>
      <c r="DP298" s="68"/>
      <c r="DQ298" s="35"/>
      <c r="DR298" s="68"/>
      <c r="DS298" s="68"/>
      <c r="DT298" s="145"/>
      <c r="DU298" s="146"/>
      <c r="DV298" s="146"/>
      <c r="DW298" s="146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</row>
    <row r="299" spans="1:138" x14ac:dyDescent="0.2">
      <c r="A299" s="102"/>
      <c r="B299" s="200"/>
      <c r="C299" s="19"/>
      <c r="D299" s="19"/>
      <c r="E299" s="82"/>
      <c r="F299" s="82"/>
      <c r="G299" s="9"/>
      <c r="H299" s="93"/>
      <c r="I299" s="47"/>
      <c r="J299" s="113"/>
      <c r="K299" s="112"/>
      <c r="L299" s="112"/>
      <c r="M299" s="191"/>
      <c r="N299" s="112"/>
      <c r="O299" s="112"/>
      <c r="P299" s="191"/>
      <c r="Q299" s="112"/>
      <c r="R299" s="191"/>
      <c r="S299" s="112"/>
      <c r="T299" s="96"/>
      <c r="U299" s="112"/>
      <c r="V299" s="112"/>
      <c r="W299" s="112"/>
      <c r="X299" s="96"/>
      <c r="Y299" s="96"/>
      <c r="Z299" s="96"/>
      <c r="AA299" s="96"/>
      <c r="AB299" s="96"/>
      <c r="AC299" s="96"/>
      <c r="AD299" s="96"/>
      <c r="AE299" s="110"/>
      <c r="AF299" s="110"/>
      <c r="AG299" s="112"/>
      <c r="AH299" s="112"/>
      <c r="AI299" s="112"/>
      <c r="AJ299" s="112"/>
      <c r="AK299" s="112"/>
      <c r="AL299" s="112"/>
      <c r="AM299" s="112"/>
      <c r="AN299" s="255"/>
      <c r="AO299" s="251"/>
      <c r="AP299" s="112"/>
      <c r="AQ299" s="112"/>
      <c r="AR299" s="112"/>
      <c r="AS299" s="112"/>
      <c r="AT299" s="112"/>
      <c r="AU299" s="112"/>
      <c r="AV299" s="112"/>
      <c r="AW299" s="112"/>
      <c r="AX299" s="112"/>
      <c r="AY299" s="112"/>
      <c r="AZ299" s="96"/>
      <c r="BA299" s="11"/>
      <c r="BB299" s="11"/>
      <c r="BC299" s="96"/>
      <c r="BD299" s="112"/>
      <c r="BE299" s="96"/>
      <c r="BF299" s="112"/>
      <c r="BG299" s="96"/>
      <c r="BH299" s="112"/>
      <c r="BI299" s="112"/>
      <c r="BJ299" s="112"/>
      <c r="BK299" s="112"/>
      <c r="BL299" s="96"/>
      <c r="BM299" s="96"/>
      <c r="BN299" s="112"/>
      <c r="BO299" s="112"/>
      <c r="BP299" s="112"/>
      <c r="BQ299" s="112"/>
      <c r="BR299" s="112"/>
      <c r="BS299" s="96"/>
      <c r="BT299" s="96"/>
      <c r="BU299" s="112"/>
      <c r="BV299" s="112"/>
      <c r="BW299" s="112"/>
      <c r="BX299" s="96"/>
      <c r="BY299" s="112"/>
      <c r="BZ299" s="112"/>
      <c r="CA299" s="112"/>
      <c r="CB299" s="112"/>
      <c r="CC299" s="112"/>
      <c r="CD299" s="112"/>
      <c r="CE299" s="112"/>
      <c r="CF299" s="112"/>
      <c r="CG299" s="96"/>
      <c r="CH299" s="112"/>
      <c r="CI299" s="112"/>
      <c r="CJ299" s="112"/>
      <c r="CK299" s="112"/>
      <c r="CL299" s="112"/>
      <c r="CM299" s="112"/>
      <c r="CN299" s="96"/>
      <c r="CO299" s="112"/>
      <c r="CP299" s="96"/>
      <c r="CQ299" s="112"/>
      <c r="CR299" s="112"/>
      <c r="CS299" s="112"/>
      <c r="CT299" s="112"/>
      <c r="CU299" s="112"/>
      <c r="CV299" s="112"/>
      <c r="CW299" s="112"/>
      <c r="CX299" s="96"/>
      <c r="CY299" s="112"/>
      <c r="CZ299" s="112"/>
      <c r="DA299" s="26"/>
      <c r="DB299" s="42"/>
      <c r="DC299" s="43"/>
      <c r="DD299" s="62"/>
      <c r="DE299" s="62"/>
      <c r="DF299" s="4"/>
      <c r="DG299" s="4"/>
      <c r="DH299" s="4"/>
      <c r="DI299" s="4"/>
      <c r="DJ299" s="62"/>
      <c r="DK299" s="62"/>
      <c r="DL299" s="209"/>
      <c r="DM299" s="62"/>
      <c r="DN299" s="13"/>
      <c r="DO299" s="13"/>
      <c r="DP299" s="68"/>
      <c r="DQ299" s="35"/>
      <c r="DR299" s="68"/>
      <c r="DS299" s="68"/>
      <c r="DT299" s="145"/>
      <c r="DU299" s="146"/>
      <c r="DV299" s="146"/>
      <c r="DW299" s="146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</row>
    <row r="300" spans="1:138" x14ac:dyDescent="0.2">
      <c r="A300" s="102"/>
      <c r="B300" s="200"/>
      <c r="C300" s="19"/>
      <c r="D300" s="19"/>
      <c r="E300" s="82"/>
      <c r="F300" s="82"/>
      <c r="G300" s="9"/>
      <c r="H300" s="93"/>
      <c r="I300" s="47"/>
      <c r="J300" s="94"/>
      <c r="K300" s="112"/>
      <c r="L300" s="112"/>
      <c r="M300" s="112"/>
      <c r="N300" s="112"/>
      <c r="O300" s="112"/>
      <c r="P300" s="112"/>
      <c r="Q300" s="112"/>
      <c r="R300" s="112"/>
      <c r="S300" s="112"/>
      <c r="T300" s="96"/>
      <c r="U300" s="112"/>
      <c r="V300" s="112"/>
      <c r="W300" s="112"/>
      <c r="X300" s="96"/>
      <c r="Y300" s="96"/>
      <c r="Z300" s="96"/>
      <c r="AA300" s="96"/>
      <c r="AB300" s="96"/>
      <c r="AC300" s="96"/>
      <c r="AD300" s="96"/>
      <c r="AE300" s="110"/>
      <c r="AF300" s="110"/>
      <c r="AG300" s="112"/>
      <c r="AH300" s="112"/>
      <c r="AI300" s="112"/>
      <c r="AJ300" s="112"/>
      <c r="AK300" s="112"/>
      <c r="AL300" s="112"/>
      <c r="AM300" s="112"/>
      <c r="AN300" s="255"/>
      <c r="AO300" s="251"/>
      <c r="AP300" s="112"/>
      <c r="AQ300" s="112"/>
      <c r="AR300" s="112"/>
      <c r="AS300" s="112"/>
      <c r="AT300" s="112"/>
      <c r="AU300" s="112"/>
      <c r="AV300" s="112"/>
      <c r="AW300" s="112"/>
      <c r="AX300" s="112"/>
      <c r="AY300" s="112"/>
      <c r="AZ300" s="96"/>
      <c r="BA300" s="11"/>
      <c r="BB300" s="11"/>
      <c r="BC300" s="96"/>
      <c r="BD300" s="20"/>
      <c r="BE300" s="96"/>
      <c r="BF300" s="112"/>
      <c r="BG300" s="112"/>
      <c r="BH300" s="112"/>
      <c r="BI300" s="112"/>
      <c r="BJ300" s="112"/>
      <c r="BK300" s="112"/>
      <c r="BL300" s="96"/>
      <c r="BM300" s="96"/>
      <c r="BN300" s="112"/>
      <c r="BO300" s="112"/>
      <c r="BP300" s="112"/>
      <c r="BQ300" s="112"/>
      <c r="BR300" s="112"/>
      <c r="BS300" s="96"/>
      <c r="BT300" s="96"/>
      <c r="BU300" s="112"/>
      <c r="BV300" s="112"/>
      <c r="BW300" s="112"/>
      <c r="BX300" s="96"/>
      <c r="BY300" s="112"/>
      <c r="BZ300" s="112"/>
      <c r="CA300" s="112"/>
      <c r="CB300" s="112"/>
      <c r="CC300" s="112"/>
      <c r="CD300" s="112"/>
      <c r="CE300" s="112"/>
      <c r="CF300" s="112"/>
      <c r="CG300" s="96"/>
      <c r="CH300" s="112"/>
      <c r="CI300" s="112"/>
      <c r="CJ300" s="112"/>
      <c r="CK300" s="112"/>
      <c r="CL300" s="112"/>
      <c r="CM300" s="112"/>
      <c r="CN300" s="96"/>
      <c r="CO300" s="112"/>
      <c r="CP300" s="96"/>
      <c r="CQ300" s="112"/>
      <c r="CR300" s="112"/>
      <c r="CS300" s="112"/>
      <c r="CT300" s="112"/>
      <c r="CU300" s="112"/>
      <c r="CV300" s="112"/>
      <c r="CW300" s="112"/>
      <c r="CX300" s="96"/>
      <c r="CY300" s="112"/>
      <c r="CZ300" s="112"/>
      <c r="DA300" s="26"/>
      <c r="DB300" s="42"/>
      <c r="DC300" s="43"/>
      <c r="DD300" s="62"/>
      <c r="DE300" s="62"/>
      <c r="DF300" s="4"/>
      <c r="DG300" s="4"/>
      <c r="DH300" s="4"/>
      <c r="DI300" s="4"/>
      <c r="DJ300" s="62"/>
      <c r="DK300" s="62"/>
      <c r="DL300" s="209"/>
      <c r="DM300" s="62"/>
      <c r="DN300" s="13"/>
      <c r="DO300" s="13"/>
      <c r="DP300" s="68"/>
      <c r="DQ300" s="35"/>
      <c r="DR300" s="68"/>
      <c r="DS300" s="68"/>
      <c r="DT300" s="145"/>
      <c r="DU300" s="146"/>
      <c r="DV300" s="146"/>
      <c r="DW300" s="146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</row>
    <row r="301" spans="1:138" x14ac:dyDescent="0.2">
      <c r="A301" s="102"/>
      <c r="B301" s="148"/>
      <c r="C301" s="19"/>
      <c r="D301" s="19"/>
      <c r="E301" s="82"/>
      <c r="F301" s="82"/>
      <c r="G301" s="9"/>
      <c r="H301" s="93"/>
      <c r="I301" s="47"/>
      <c r="J301" s="94"/>
      <c r="K301" s="20"/>
      <c r="L301" s="20"/>
      <c r="M301" s="20"/>
      <c r="N301" s="20"/>
      <c r="O301" s="20"/>
      <c r="P301" s="20"/>
      <c r="Q301" s="20"/>
      <c r="R301" s="20"/>
      <c r="S301" s="20"/>
      <c r="T301" s="96"/>
      <c r="U301" s="20"/>
      <c r="V301" s="20"/>
      <c r="W301" s="20"/>
      <c r="X301" s="96"/>
      <c r="Y301" s="96"/>
      <c r="Z301" s="96"/>
      <c r="AA301" s="96"/>
      <c r="AB301" s="96"/>
      <c r="AC301" s="96"/>
      <c r="AD301" s="96"/>
      <c r="AE301" s="110"/>
      <c r="AF301" s="110"/>
      <c r="AG301" s="20"/>
      <c r="AH301" s="20"/>
      <c r="AI301" s="20"/>
      <c r="AJ301" s="20"/>
      <c r="AK301" s="20"/>
      <c r="AL301" s="20"/>
      <c r="AM301" s="20"/>
      <c r="AN301" s="254"/>
      <c r="AO301" s="251"/>
      <c r="AP301" s="112"/>
      <c r="AQ301" s="20"/>
      <c r="AR301" s="112"/>
      <c r="AS301" s="20"/>
      <c r="AT301" s="112"/>
      <c r="AU301" s="20"/>
      <c r="AV301" s="20"/>
      <c r="AW301" s="20"/>
      <c r="AX301" s="20"/>
      <c r="AY301" s="20"/>
      <c r="AZ301" s="96"/>
      <c r="BA301" s="11"/>
      <c r="BB301" s="11"/>
      <c r="BC301" s="96"/>
      <c r="BD301" s="20"/>
      <c r="BE301" s="96"/>
      <c r="BF301" s="20"/>
      <c r="BG301" s="20"/>
      <c r="BH301" s="20"/>
      <c r="BI301" s="20"/>
      <c r="BJ301" s="20"/>
      <c r="BK301" s="20"/>
      <c r="BL301" s="11"/>
      <c r="BM301" s="11"/>
      <c r="BN301" s="112"/>
      <c r="BO301" s="20"/>
      <c r="BP301" s="20"/>
      <c r="BQ301" s="20"/>
      <c r="BR301" s="20"/>
      <c r="BS301" s="11"/>
      <c r="BT301" s="11"/>
      <c r="BU301" s="112"/>
      <c r="BV301" s="112"/>
      <c r="BW301" s="112"/>
      <c r="BX301" s="11"/>
      <c r="BY301" s="20"/>
      <c r="BZ301" s="20"/>
      <c r="CA301" s="20"/>
      <c r="CB301" s="20"/>
      <c r="CC301" s="20"/>
      <c r="CD301" s="20"/>
      <c r="CE301" s="20"/>
      <c r="CF301" s="20"/>
      <c r="CG301" s="96"/>
      <c r="CH301" s="20"/>
      <c r="CI301" s="20"/>
      <c r="CJ301" s="20"/>
      <c r="CK301" s="20"/>
      <c r="CL301" s="20"/>
      <c r="CM301" s="20"/>
      <c r="CN301" s="11"/>
      <c r="CO301" s="20"/>
      <c r="CP301" s="20"/>
      <c r="CQ301" s="11"/>
      <c r="CR301" s="20"/>
      <c r="CS301" s="20"/>
      <c r="CT301" s="20"/>
      <c r="CU301" s="20"/>
      <c r="CV301" s="20"/>
      <c r="CW301" s="20"/>
      <c r="CX301" s="96"/>
      <c r="CY301" s="112"/>
      <c r="CZ301" s="20"/>
      <c r="DA301" s="26"/>
      <c r="DB301" s="42"/>
      <c r="DC301" s="43"/>
      <c r="DD301" s="62"/>
      <c r="DE301" s="62"/>
      <c r="DF301" s="4"/>
      <c r="DG301" s="4"/>
      <c r="DH301" s="4"/>
      <c r="DI301" s="4"/>
      <c r="DJ301" s="62"/>
      <c r="DK301" s="62"/>
      <c r="DL301" s="209"/>
      <c r="DM301" s="62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</row>
    <row r="302" spans="1:138" x14ac:dyDescent="0.2">
      <c r="A302" s="102"/>
      <c r="B302" s="148"/>
      <c r="C302" s="19"/>
      <c r="D302" s="19"/>
      <c r="E302" s="82"/>
      <c r="F302" s="82"/>
      <c r="G302" s="9"/>
      <c r="H302" s="93"/>
      <c r="I302" s="46"/>
      <c r="J302" s="94"/>
      <c r="K302" s="20"/>
      <c r="L302" s="20"/>
      <c r="M302" s="20"/>
      <c r="N302" s="20"/>
      <c r="O302" s="20"/>
      <c r="P302" s="20"/>
      <c r="Q302" s="20"/>
      <c r="R302" s="20"/>
      <c r="S302" s="20"/>
      <c r="T302" s="96"/>
      <c r="U302" s="20"/>
      <c r="V302" s="20"/>
      <c r="W302" s="20"/>
      <c r="X302" s="96"/>
      <c r="Y302" s="96"/>
      <c r="Z302" s="96"/>
      <c r="AA302" s="96"/>
      <c r="AB302" s="96"/>
      <c r="AC302" s="96"/>
      <c r="AD302" s="96"/>
      <c r="AE302" s="110"/>
      <c r="AF302" s="110"/>
      <c r="AG302" s="20"/>
      <c r="AH302" s="20"/>
      <c r="AI302" s="20"/>
      <c r="AJ302" s="20"/>
      <c r="AK302" s="20"/>
      <c r="AL302" s="20"/>
      <c r="AM302" s="20"/>
      <c r="AN302" s="254"/>
      <c r="AO302" s="251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96"/>
      <c r="BA302" s="11"/>
      <c r="BB302" s="11"/>
      <c r="BC302" s="96"/>
      <c r="BD302" s="20"/>
      <c r="BE302" s="96"/>
      <c r="BF302" s="20"/>
      <c r="BG302" s="20"/>
      <c r="BH302" s="20"/>
      <c r="BI302" s="20"/>
      <c r="BJ302" s="20"/>
      <c r="BK302" s="20"/>
      <c r="BL302" s="11"/>
      <c r="BM302" s="11"/>
      <c r="BN302" s="112"/>
      <c r="BO302" s="20"/>
      <c r="BP302" s="20"/>
      <c r="BQ302" s="20"/>
      <c r="BR302" s="20"/>
      <c r="BS302" s="11"/>
      <c r="BT302" s="11"/>
      <c r="BU302" s="112"/>
      <c r="BV302" s="112"/>
      <c r="BW302" s="112"/>
      <c r="BX302" s="11"/>
      <c r="BY302" s="20"/>
      <c r="BZ302" s="20"/>
      <c r="CA302" s="20"/>
      <c r="CB302" s="20"/>
      <c r="CC302" s="20"/>
      <c r="CD302" s="20"/>
      <c r="CE302" s="20"/>
      <c r="CF302" s="20"/>
      <c r="CG302" s="96"/>
      <c r="CH302" s="20"/>
      <c r="CI302" s="20"/>
      <c r="CJ302" s="20"/>
      <c r="CK302" s="20"/>
      <c r="CL302" s="20"/>
      <c r="CM302" s="20"/>
      <c r="CN302" s="11"/>
      <c r="CO302" s="20"/>
      <c r="CP302" s="20"/>
      <c r="CQ302" s="20"/>
      <c r="CR302" s="20"/>
      <c r="CS302" s="20"/>
      <c r="CT302" s="20"/>
      <c r="CU302" s="20"/>
      <c r="CV302" s="20"/>
      <c r="CW302" s="20"/>
      <c r="CX302" s="96"/>
      <c r="CY302" s="112"/>
      <c r="CZ302" s="20"/>
      <c r="DA302" s="26"/>
      <c r="DB302" s="53"/>
      <c r="DC302" s="68"/>
      <c r="DD302" s="62"/>
      <c r="DE302" s="209"/>
      <c r="DF302" s="115"/>
      <c r="DG302" s="4"/>
      <c r="DH302" s="115"/>
      <c r="DI302" s="115"/>
      <c r="DJ302" s="62"/>
      <c r="DK302" s="62"/>
      <c r="DL302" s="209"/>
      <c r="DM302" s="62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</row>
    <row r="303" spans="1:138" x14ac:dyDescent="0.2">
      <c r="A303" s="102"/>
      <c r="B303" s="188"/>
      <c r="C303" s="19"/>
      <c r="D303" s="19"/>
      <c r="E303" s="82"/>
      <c r="F303" s="82"/>
      <c r="G303" s="9"/>
      <c r="H303" s="93"/>
      <c r="I303" s="47"/>
      <c r="J303" s="94"/>
      <c r="K303" s="20"/>
      <c r="L303" s="20"/>
      <c r="M303" s="11"/>
      <c r="N303" s="20"/>
      <c r="O303" s="11"/>
      <c r="P303" s="20"/>
      <c r="Q303" s="20"/>
      <c r="R303" s="20"/>
      <c r="S303" s="112"/>
      <c r="T303" s="11"/>
      <c r="U303" s="20"/>
      <c r="V303" s="20"/>
      <c r="W303" s="20"/>
      <c r="X303" s="96"/>
      <c r="Y303" s="11"/>
      <c r="Z303" s="11"/>
      <c r="AA303" s="96"/>
      <c r="AB303" s="11"/>
      <c r="AC303" s="11"/>
      <c r="AD303" s="96"/>
      <c r="AE303" s="79"/>
      <c r="AF303" s="79"/>
      <c r="AG303" s="20"/>
      <c r="AH303" s="20"/>
      <c r="AI303" s="20"/>
      <c r="AJ303" s="20"/>
      <c r="AK303" s="20"/>
      <c r="AL303" s="20"/>
      <c r="AM303" s="20"/>
      <c r="AN303" s="254"/>
      <c r="AO303" s="251"/>
      <c r="AP303" s="20"/>
      <c r="AQ303" s="20"/>
      <c r="AR303" s="20"/>
      <c r="AS303" s="20"/>
      <c r="AT303" s="20"/>
      <c r="AU303" s="20"/>
      <c r="AV303" s="20"/>
      <c r="AW303" s="20"/>
      <c r="AX303" s="20"/>
      <c r="AY303" s="112"/>
      <c r="AZ303" s="96"/>
      <c r="BA303" s="11"/>
      <c r="BB303" s="11"/>
      <c r="BC303" s="11"/>
      <c r="BD303" s="20"/>
      <c r="BE303" s="11"/>
      <c r="BF303" s="20"/>
      <c r="BG303" s="11"/>
      <c r="BH303" s="20"/>
      <c r="BI303" s="20"/>
      <c r="BJ303" s="20"/>
      <c r="BK303" s="20"/>
      <c r="BL303" s="11"/>
      <c r="BM303" s="96"/>
      <c r="BN303" s="20"/>
      <c r="BO303" s="20"/>
      <c r="BP303" s="20"/>
      <c r="BQ303" s="20"/>
      <c r="BR303" s="20"/>
      <c r="BS303" s="11"/>
      <c r="BT303" s="96"/>
      <c r="BU303" s="112"/>
      <c r="BV303" s="112"/>
      <c r="BW303" s="20"/>
      <c r="BX303" s="11"/>
      <c r="BY303" s="112"/>
      <c r="BZ303" s="112"/>
      <c r="CA303" s="20"/>
      <c r="CB303" s="20"/>
      <c r="CC303" s="20"/>
      <c r="CD303" s="20"/>
      <c r="CE303" s="20"/>
      <c r="CF303" s="20"/>
      <c r="CG303" s="96"/>
      <c r="CH303" s="20"/>
      <c r="CI303" s="20"/>
      <c r="CJ303" s="112"/>
      <c r="CK303" s="112"/>
      <c r="CL303" s="20"/>
      <c r="CM303" s="20"/>
      <c r="CN303" s="96"/>
      <c r="CO303" s="112"/>
      <c r="CP303" s="112"/>
      <c r="CQ303" s="112"/>
      <c r="CR303" s="112"/>
      <c r="CS303" s="112"/>
      <c r="CT303" s="112"/>
      <c r="CU303" s="112"/>
      <c r="CV303" s="112"/>
      <c r="CW303" s="112"/>
      <c r="CX303" s="96"/>
      <c r="CY303" s="112"/>
      <c r="CZ303" s="20"/>
      <c r="DA303" s="26"/>
      <c r="DB303" s="42"/>
      <c r="DC303" s="43"/>
      <c r="DD303" s="62"/>
      <c r="DE303" s="62"/>
      <c r="DF303" s="4"/>
      <c r="DG303" s="4"/>
      <c r="DH303" s="4"/>
      <c r="DI303" s="4"/>
      <c r="DJ303" s="62"/>
      <c r="DK303" s="62"/>
      <c r="DL303" s="209"/>
      <c r="DM303" s="62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</row>
    <row r="304" spans="1:138" x14ac:dyDescent="0.2">
      <c r="A304" s="102"/>
      <c r="B304" s="148"/>
      <c r="C304" s="19"/>
      <c r="D304" s="19"/>
      <c r="E304" s="82"/>
      <c r="F304" s="82"/>
      <c r="G304" s="9"/>
      <c r="H304" s="93"/>
      <c r="I304" s="47"/>
      <c r="J304" s="94"/>
      <c r="K304" s="20"/>
      <c r="L304" s="20"/>
      <c r="M304" s="20"/>
      <c r="N304" s="20"/>
      <c r="O304" s="20"/>
      <c r="P304" s="20"/>
      <c r="Q304" s="11"/>
      <c r="R304" s="20"/>
      <c r="S304" s="11"/>
      <c r="T304" s="96"/>
      <c r="U304" s="11"/>
      <c r="V304" s="20"/>
      <c r="W304" s="11"/>
      <c r="X304" s="96"/>
      <c r="Y304" s="96"/>
      <c r="Z304" s="96"/>
      <c r="AA304" s="96"/>
      <c r="AB304" s="96"/>
      <c r="AC304" s="96"/>
      <c r="AD304" s="96"/>
      <c r="AE304" s="110"/>
      <c r="AF304" s="110"/>
      <c r="AG304" s="20"/>
      <c r="AH304" s="20"/>
      <c r="AI304" s="20"/>
      <c r="AJ304" s="20"/>
      <c r="AK304" s="20"/>
      <c r="AL304" s="20"/>
      <c r="AM304" s="20"/>
      <c r="AN304" s="254"/>
      <c r="AO304" s="251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96"/>
      <c r="BA304" s="11"/>
      <c r="BB304" s="96"/>
      <c r="BC304" s="96"/>
      <c r="BD304" s="20"/>
      <c r="BE304" s="96"/>
      <c r="BF304" s="20"/>
      <c r="BG304" s="11"/>
      <c r="BH304" s="20"/>
      <c r="BI304" s="20"/>
      <c r="BJ304" s="20"/>
      <c r="BK304" s="20"/>
      <c r="BL304" s="11"/>
      <c r="BM304" s="11"/>
      <c r="BN304" s="112"/>
      <c r="BO304" s="20"/>
      <c r="BP304" s="20"/>
      <c r="BQ304" s="20"/>
      <c r="BR304" s="20"/>
      <c r="BS304" s="11"/>
      <c r="BT304" s="11"/>
      <c r="BU304" s="112"/>
      <c r="BV304" s="112"/>
      <c r="BW304" s="112"/>
      <c r="BX304" s="11"/>
      <c r="BY304" s="20"/>
      <c r="BZ304" s="20"/>
      <c r="CA304" s="20"/>
      <c r="CB304" s="20"/>
      <c r="CC304" s="20"/>
      <c r="CD304" s="20"/>
      <c r="CE304" s="20"/>
      <c r="CF304" s="20"/>
      <c r="CG304" s="96"/>
      <c r="CH304" s="20"/>
      <c r="CI304" s="20"/>
      <c r="CJ304" s="20"/>
      <c r="CK304" s="20"/>
      <c r="CL304" s="20"/>
      <c r="CM304" s="20"/>
      <c r="CN304" s="11"/>
      <c r="CO304" s="20"/>
      <c r="CP304" s="20"/>
      <c r="CQ304" s="20"/>
      <c r="CR304" s="20"/>
      <c r="CS304" s="20"/>
      <c r="CT304" s="20"/>
      <c r="CU304" s="20"/>
      <c r="CV304" s="20"/>
      <c r="CW304" s="20"/>
      <c r="CX304" s="96"/>
      <c r="CY304" s="112"/>
      <c r="CZ304" s="20"/>
      <c r="DA304" s="26"/>
      <c r="DB304" s="53"/>
      <c r="DC304" s="68"/>
      <c r="DD304" s="62"/>
      <c r="DE304" s="209"/>
      <c r="DF304" s="115"/>
      <c r="DG304" s="4"/>
      <c r="DH304" s="115"/>
      <c r="DI304" s="115"/>
      <c r="DJ304" s="62"/>
      <c r="DK304" s="62"/>
      <c r="DL304" s="209"/>
      <c r="DM304" s="62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</row>
    <row r="305" spans="1:137" x14ac:dyDescent="0.2">
      <c r="A305" s="102"/>
      <c r="B305" s="189"/>
      <c r="C305" s="19"/>
      <c r="D305" s="19"/>
      <c r="E305" s="82"/>
      <c r="F305" s="82"/>
      <c r="G305" s="9"/>
      <c r="H305" s="93"/>
      <c r="I305" s="47"/>
      <c r="J305" s="94"/>
      <c r="K305" s="20"/>
      <c r="L305" s="20"/>
      <c r="M305" s="20"/>
      <c r="N305" s="20"/>
      <c r="O305" s="20"/>
      <c r="P305" s="20"/>
      <c r="Q305" s="11"/>
      <c r="R305" s="20"/>
      <c r="S305" s="96"/>
      <c r="T305" s="11"/>
      <c r="U305" s="11"/>
      <c r="V305" s="20"/>
      <c r="W305" s="11"/>
      <c r="X305" s="96"/>
      <c r="Y305" s="11"/>
      <c r="Z305" s="11"/>
      <c r="AA305" s="96"/>
      <c r="AB305" s="11"/>
      <c r="AC305" s="11"/>
      <c r="AD305" s="96"/>
      <c r="AE305" s="79"/>
      <c r="AF305" s="79"/>
      <c r="AG305" s="20"/>
      <c r="AH305" s="20"/>
      <c r="AI305" s="20"/>
      <c r="AJ305" s="20"/>
      <c r="AK305" s="20"/>
      <c r="AL305" s="20"/>
      <c r="AM305" s="20"/>
      <c r="AN305" s="254"/>
      <c r="AO305" s="251"/>
      <c r="AP305" s="20"/>
      <c r="AQ305" s="112"/>
      <c r="AR305" s="20"/>
      <c r="AS305" s="112"/>
      <c r="AT305" s="20"/>
      <c r="AU305" s="112"/>
      <c r="AV305" s="20"/>
      <c r="AW305" s="20"/>
      <c r="AX305" s="20"/>
      <c r="AY305" s="112"/>
      <c r="AZ305" s="96"/>
      <c r="BA305" s="11"/>
      <c r="BB305" s="11"/>
      <c r="BC305" s="11"/>
      <c r="BD305" s="20"/>
      <c r="BE305" s="11"/>
      <c r="BF305" s="20"/>
      <c r="BG305" s="11"/>
      <c r="BH305" s="20"/>
      <c r="BI305" s="20"/>
      <c r="BJ305" s="20"/>
      <c r="BK305" s="20"/>
      <c r="BL305" s="11"/>
      <c r="BM305" s="96"/>
      <c r="BN305" s="20"/>
      <c r="BO305" s="112"/>
      <c r="BP305" s="20"/>
      <c r="BQ305" s="20"/>
      <c r="BR305" s="20"/>
      <c r="BS305" s="11"/>
      <c r="BT305" s="96"/>
      <c r="BU305" s="112"/>
      <c r="BV305" s="112"/>
      <c r="BW305" s="20"/>
      <c r="BX305" s="11"/>
      <c r="BY305" s="112"/>
      <c r="BZ305" s="20"/>
      <c r="CA305" s="20"/>
      <c r="CB305" s="20"/>
      <c r="CC305" s="20"/>
      <c r="CD305" s="20"/>
      <c r="CE305" s="20"/>
      <c r="CF305" s="20"/>
      <c r="CG305" s="96"/>
      <c r="CH305" s="20"/>
      <c r="CI305" s="20"/>
      <c r="CJ305" s="112"/>
      <c r="CK305" s="112"/>
      <c r="CL305" s="20"/>
      <c r="CM305" s="20"/>
      <c r="CN305" s="11"/>
      <c r="CO305" s="20"/>
      <c r="CP305" s="20"/>
      <c r="CQ305" s="20"/>
      <c r="CR305" s="20"/>
      <c r="CS305" s="20"/>
      <c r="CT305" s="20"/>
      <c r="CU305" s="20"/>
      <c r="CV305" s="20"/>
      <c r="CW305" s="20"/>
      <c r="CX305" s="11"/>
      <c r="CY305" s="20"/>
      <c r="CZ305" s="20"/>
      <c r="DA305" s="26"/>
      <c r="DB305" s="42"/>
      <c r="DC305" s="43"/>
      <c r="DD305" s="62"/>
      <c r="DE305" s="62"/>
      <c r="DF305" s="4"/>
      <c r="DG305" s="4"/>
      <c r="DH305" s="4"/>
      <c r="DI305" s="4"/>
      <c r="DJ305" s="62"/>
      <c r="DK305" s="62"/>
      <c r="DL305" s="209"/>
      <c r="DM305" s="62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</row>
    <row r="306" spans="1:137" x14ac:dyDescent="0.2">
      <c r="A306" s="102"/>
      <c r="B306" s="148"/>
      <c r="C306" s="19"/>
      <c r="D306" s="19"/>
      <c r="E306" s="82"/>
      <c r="F306" s="82"/>
      <c r="G306" s="9"/>
      <c r="H306" s="93"/>
      <c r="I306" s="47"/>
      <c r="J306" s="94"/>
      <c r="K306" s="20"/>
      <c r="L306" s="20"/>
      <c r="M306" s="20"/>
      <c r="N306" s="20"/>
      <c r="O306" s="20"/>
      <c r="P306" s="20"/>
      <c r="Q306" s="20"/>
      <c r="R306" s="20"/>
      <c r="S306" s="20"/>
      <c r="T306" s="96"/>
      <c r="U306" s="20"/>
      <c r="V306" s="20"/>
      <c r="W306" s="20"/>
      <c r="X306" s="96"/>
      <c r="Y306" s="96"/>
      <c r="Z306" s="96"/>
      <c r="AA306" s="96"/>
      <c r="AB306" s="96"/>
      <c r="AC306" s="96"/>
      <c r="AD306" s="96"/>
      <c r="AE306" s="110"/>
      <c r="AF306" s="110"/>
      <c r="AG306" s="20"/>
      <c r="AH306" s="20"/>
      <c r="AI306" s="20"/>
      <c r="AJ306" s="11"/>
      <c r="AK306" s="20"/>
      <c r="AL306" s="11"/>
      <c r="AM306" s="20"/>
      <c r="AN306" s="254"/>
      <c r="AO306" s="251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96"/>
      <c r="BA306" s="11"/>
      <c r="BB306" s="11"/>
      <c r="BC306" s="11"/>
      <c r="BD306" s="20"/>
      <c r="BE306" s="11"/>
      <c r="BF306" s="20"/>
      <c r="BG306" s="20"/>
      <c r="BH306" s="20"/>
      <c r="BI306" s="20"/>
      <c r="BJ306" s="20"/>
      <c r="BK306" s="20"/>
      <c r="BL306" s="11"/>
      <c r="BM306" s="11"/>
      <c r="BN306" s="112"/>
      <c r="BO306" s="20"/>
      <c r="BP306" s="20"/>
      <c r="BQ306" s="20"/>
      <c r="BR306" s="20"/>
      <c r="BS306" s="11"/>
      <c r="BT306" s="11"/>
      <c r="BU306" s="112"/>
      <c r="BV306" s="112"/>
      <c r="BW306" s="112"/>
      <c r="BX306" s="11"/>
      <c r="BY306" s="20"/>
      <c r="BZ306" s="20"/>
      <c r="CA306" s="20"/>
      <c r="CB306" s="20"/>
      <c r="CC306" s="20"/>
      <c r="CD306" s="20"/>
      <c r="CE306" s="20"/>
      <c r="CF306" s="20"/>
      <c r="CG306" s="96"/>
      <c r="CH306" s="20"/>
      <c r="CI306" s="20"/>
      <c r="CJ306" s="20"/>
      <c r="CK306" s="20"/>
      <c r="CL306" s="20"/>
      <c r="CM306" s="20"/>
      <c r="CN306" s="11"/>
      <c r="CO306" s="20"/>
      <c r="CP306" s="20"/>
      <c r="CQ306" s="20"/>
      <c r="CR306" s="20"/>
      <c r="CS306" s="20"/>
      <c r="CT306" s="20"/>
      <c r="CU306" s="20"/>
      <c r="CV306" s="20"/>
      <c r="CW306" s="20"/>
      <c r="CX306" s="96"/>
      <c r="CY306" s="112"/>
      <c r="CZ306" s="20"/>
      <c r="DA306" s="26"/>
      <c r="DB306" s="42"/>
      <c r="DC306" s="43"/>
      <c r="DD306" s="62"/>
      <c r="DE306" s="62"/>
      <c r="DF306" s="4"/>
      <c r="DG306" s="4"/>
      <c r="DH306" s="4"/>
      <c r="DI306" s="4"/>
      <c r="DJ306" s="62"/>
      <c r="DK306" s="62"/>
      <c r="DL306" s="209"/>
      <c r="DM306" s="62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</row>
    <row r="307" spans="1:137" x14ac:dyDescent="0.2">
      <c r="A307" s="102"/>
      <c r="B307" s="200"/>
      <c r="C307" s="19"/>
      <c r="D307" s="19"/>
      <c r="E307" s="82"/>
      <c r="F307" s="82"/>
      <c r="G307" s="9"/>
      <c r="H307" s="93"/>
      <c r="I307" s="47"/>
      <c r="J307" s="94"/>
      <c r="K307" s="112"/>
      <c r="L307" s="112"/>
      <c r="M307" s="112"/>
      <c r="N307" s="112"/>
      <c r="O307" s="112"/>
      <c r="P307" s="112"/>
      <c r="Q307" s="112"/>
      <c r="R307" s="112"/>
      <c r="S307" s="112"/>
      <c r="T307" s="96"/>
      <c r="U307" s="112"/>
      <c r="V307" s="112"/>
      <c r="W307" s="112"/>
      <c r="X307" s="96"/>
      <c r="Y307" s="96"/>
      <c r="Z307" s="96"/>
      <c r="AA307" s="96"/>
      <c r="AB307" s="96"/>
      <c r="AC307" s="96"/>
      <c r="AD307" s="96"/>
      <c r="AE307" s="110"/>
      <c r="AF307" s="110"/>
      <c r="AG307" s="112"/>
      <c r="AH307" s="112"/>
      <c r="AI307" s="112"/>
      <c r="AJ307" s="112"/>
      <c r="AK307" s="112"/>
      <c r="AL307" s="112"/>
      <c r="AM307" s="112"/>
      <c r="AN307" s="255"/>
      <c r="AO307" s="251"/>
      <c r="AP307" s="112"/>
      <c r="AQ307" s="112"/>
      <c r="AR307" s="112"/>
      <c r="AS307" s="112"/>
      <c r="AT307" s="112"/>
      <c r="AU307" s="112"/>
      <c r="AV307" s="112"/>
      <c r="AW307" s="112"/>
      <c r="AX307" s="112"/>
      <c r="AY307" s="112"/>
      <c r="AZ307" s="96"/>
      <c r="BA307" s="11"/>
      <c r="BB307" s="11"/>
      <c r="BC307" s="96"/>
      <c r="BD307" s="112"/>
      <c r="BE307" s="96"/>
      <c r="BF307" s="112"/>
      <c r="BG307" s="112"/>
      <c r="BH307" s="112"/>
      <c r="BI307" s="112"/>
      <c r="BJ307" s="112"/>
      <c r="BK307" s="112"/>
      <c r="BL307" s="96"/>
      <c r="BM307" s="96"/>
      <c r="BN307" s="112"/>
      <c r="BO307" s="112"/>
      <c r="BP307" s="112"/>
      <c r="BQ307" s="112"/>
      <c r="BR307" s="96"/>
      <c r="BS307" s="96"/>
      <c r="BT307" s="96"/>
      <c r="BU307" s="112"/>
      <c r="BV307" s="112"/>
      <c r="BW307" s="112"/>
      <c r="BX307" s="96"/>
      <c r="BY307" s="112"/>
      <c r="BZ307" s="112"/>
      <c r="CA307" s="112"/>
      <c r="CB307" s="112"/>
      <c r="CC307" s="112"/>
      <c r="CD307" s="112"/>
      <c r="CE307" s="112"/>
      <c r="CF307" s="112"/>
      <c r="CG307" s="96"/>
      <c r="CH307" s="112"/>
      <c r="CI307" s="112"/>
      <c r="CJ307" s="112"/>
      <c r="CK307" s="112"/>
      <c r="CL307" s="112"/>
      <c r="CM307" s="112"/>
      <c r="CN307" s="96"/>
      <c r="CO307" s="112"/>
      <c r="CP307" s="112"/>
      <c r="CQ307" s="112"/>
      <c r="CR307" s="112"/>
      <c r="CS307" s="112"/>
      <c r="CT307" s="112"/>
      <c r="CU307" s="112"/>
      <c r="CV307" s="112"/>
      <c r="CW307" s="112"/>
      <c r="CX307" s="96"/>
      <c r="CY307" s="112"/>
      <c r="CZ307" s="112"/>
      <c r="DA307" s="26"/>
      <c r="DB307" s="42"/>
      <c r="DC307" s="43"/>
      <c r="DD307" s="62"/>
      <c r="DE307" s="62"/>
      <c r="DF307" s="4"/>
      <c r="DG307" s="4"/>
      <c r="DH307" s="4"/>
      <c r="DI307" s="4"/>
      <c r="DJ307" s="62"/>
      <c r="DK307" s="62"/>
      <c r="DL307" s="209"/>
      <c r="DM307" s="62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</row>
    <row r="308" spans="1:137" x14ac:dyDescent="0.2">
      <c r="A308" s="102"/>
      <c r="B308" s="188"/>
      <c r="C308" s="19"/>
      <c r="D308" s="19"/>
      <c r="E308" s="82"/>
      <c r="F308" s="82"/>
      <c r="G308" s="9"/>
      <c r="H308" s="93"/>
      <c r="I308" s="47"/>
      <c r="J308" s="94"/>
      <c r="K308" s="20"/>
      <c r="L308" s="20"/>
      <c r="M308" s="20"/>
      <c r="N308" s="20"/>
      <c r="O308" s="20"/>
      <c r="P308" s="20"/>
      <c r="Q308" s="20"/>
      <c r="R308" s="20"/>
      <c r="S308" s="112"/>
      <c r="T308" s="11"/>
      <c r="U308" s="20"/>
      <c r="V308" s="20"/>
      <c r="W308" s="20"/>
      <c r="X308" s="96"/>
      <c r="Y308" s="11"/>
      <c r="Z308" s="11"/>
      <c r="AA308" s="96"/>
      <c r="AB308" s="11"/>
      <c r="AC308" s="11"/>
      <c r="AD308" s="96"/>
      <c r="AE308" s="79"/>
      <c r="AF308" s="79"/>
      <c r="AG308" s="20"/>
      <c r="AH308" s="20"/>
      <c r="AI308" s="20"/>
      <c r="AJ308" s="20"/>
      <c r="AK308" s="20"/>
      <c r="AL308" s="20"/>
      <c r="AM308" s="20"/>
      <c r="AN308" s="254"/>
      <c r="AO308" s="251"/>
      <c r="AP308" s="20"/>
      <c r="AQ308" s="20"/>
      <c r="AR308" s="20"/>
      <c r="AS308" s="20"/>
      <c r="AT308" s="20"/>
      <c r="AU308" s="20"/>
      <c r="AV308" s="20"/>
      <c r="AW308" s="20"/>
      <c r="AX308" s="20"/>
      <c r="AY308" s="112"/>
      <c r="AZ308" s="96"/>
      <c r="BA308" s="11"/>
      <c r="BB308" s="11"/>
      <c r="BC308" s="11"/>
      <c r="BD308" s="20"/>
      <c r="BE308" s="11"/>
      <c r="BF308" s="20"/>
      <c r="BG308" s="20"/>
      <c r="BH308" s="20"/>
      <c r="BI308" s="20"/>
      <c r="BJ308" s="20"/>
      <c r="BK308" s="20"/>
      <c r="BL308" s="11"/>
      <c r="BM308" s="96"/>
      <c r="BN308" s="20"/>
      <c r="BO308" s="20"/>
      <c r="BP308" s="20"/>
      <c r="BQ308" s="20"/>
      <c r="BR308" s="20"/>
      <c r="BS308" s="11"/>
      <c r="BT308" s="96"/>
      <c r="BU308" s="112"/>
      <c r="BV308" s="112"/>
      <c r="BW308" s="20"/>
      <c r="BX308" s="11"/>
      <c r="BY308" s="20"/>
      <c r="BZ308" s="20"/>
      <c r="CA308" s="20"/>
      <c r="CB308" s="20"/>
      <c r="CC308" s="20"/>
      <c r="CD308" s="20"/>
      <c r="CE308" s="20"/>
      <c r="CF308" s="20"/>
      <c r="CG308" s="96"/>
      <c r="CH308" s="112"/>
      <c r="CI308" s="20"/>
      <c r="CJ308" s="20"/>
      <c r="CK308" s="20"/>
      <c r="CL308" s="20"/>
      <c r="CM308" s="20"/>
      <c r="CN308" s="11"/>
      <c r="CO308" s="20"/>
      <c r="CP308" s="20"/>
      <c r="CQ308" s="20"/>
      <c r="CR308" s="112"/>
      <c r="CS308" s="112"/>
      <c r="CT308" s="112"/>
      <c r="CU308" s="112"/>
      <c r="CV308" s="112"/>
      <c r="CW308" s="112"/>
      <c r="CX308" s="11"/>
      <c r="CY308" s="20"/>
      <c r="CZ308" s="20"/>
      <c r="DA308" s="26"/>
      <c r="DB308" s="42"/>
      <c r="DC308" s="43"/>
      <c r="DD308" s="62"/>
      <c r="DE308" s="62"/>
      <c r="DF308" s="4"/>
      <c r="DG308" s="4"/>
      <c r="DH308" s="4"/>
      <c r="DI308" s="4"/>
      <c r="DJ308" s="62"/>
      <c r="DK308" s="62"/>
      <c r="DL308" s="209"/>
      <c r="DM308" s="62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</row>
    <row r="309" spans="1:137" x14ac:dyDescent="0.2">
      <c r="A309" s="102"/>
      <c r="B309" s="148"/>
      <c r="C309" s="19"/>
      <c r="D309" s="19"/>
      <c r="E309" s="82"/>
      <c r="F309" s="82"/>
      <c r="G309" s="9"/>
      <c r="H309" s="93"/>
      <c r="I309" s="47"/>
      <c r="J309" s="94"/>
      <c r="K309" s="20"/>
      <c r="L309" s="20"/>
      <c r="M309" s="20"/>
      <c r="N309" s="20"/>
      <c r="O309" s="20"/>
      <c r="P309" s="20"/>
      <c r="Q309" s="20"/>
      <c r="R309" s="20"/>
      <c r="S309" s="20"/>
      <c r="T309" s="96"/>
      <c r="U309" s="20"/>
      <c r="V309" s="20"/>
      <c r="W309" s="20"/>
      <c r="X309" s="96"/>
      <c r="Y309" s="96"/>
      <c r="Z309" s="96"/>
      <c r="AA309" s="96"/>
      <c r="AB309" s="96"/>
      <c r="AC309" s="96"/>
      <c r="AD309" s="96"/>
      <c r="AE309" s="110"/>
      <c r="AF309" s="110"/>
      <c r="AG309" s="20"/>
      <c r="AH309" s="20"/>
      <c r="AI309" s="20"/>
      <c r="AJ309" s="20"/>
      <c r="AK309" s="20"/>
      <c r="AL309" s="20"/>
      <c r="AM309" s="20"/>
      <c r="AN309" s="254"/>
      <c r="AO309" s="251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96"/>
      <c r="BA309" s="11"/>
      <c r="BB309" s="11"/>
      <c r="BC309" s="11"/>
      <c r="BD309" s="20"/>
      <c r="BE309" s="11"/>
      <c r="BF309" s="20"/>
      <c r="BG309" s="11"/>
      <c r="BH309" s="20"/>
      <c r="BI309" s="20"/>
      <c r="BJ309" s="20"/>
      <c r="BK309" s="20"/>
      <c r="BL309" s="11"/>
      <c r="BM309" s="11"/>
      <c r="BN309" s="112"/>
      <c r="BO309" s="20"/>
      <c r="BP309" s="20"/>
      <c r="BQ309" s="20"/>
      <c r="BR309" s="20"/>
      <c r="BS309" s="11"/>
      <c r="BT309" s="11"/>
      <c r="BU309" s="112"/>
      <c r="BV309" s="112"/>
      <c r="BW309" s="112"/>
      <c r="BX309" s="11"/>
      <c r="BY309" s="20"/>
      <c r="BZ309" s="20"/>
      <c r="CA309" s="20"/>
      <c r="CB309" s="20"/>
      <c r="CC309" s="20"/>
      <c r="CD309" s="20"/>
      <c r="CE309" s="20"/>
      <c r="CF309" s="20"/>
      <c r="CG309" s="96"/>
      <c r="CH309" s="20"/>
      <c r="CI309" s="20"/>
      <c r="CJ309" s="20"/>
      <c r="CK309" s="20"/>
      <c r="CL309" s="20"/>
      <c r="CM309" s="20"/>
      <c r="CN309" s="11"/>
      <c r="CO309" s="20"/>
      <c r="CP309" s="20"/>
      <c r="CQ309" s="20"/>
      <c r="CR309" s="20"/>
      <c r="CS309" s="20"/>
      <c r="CT309" s="20"/>
      <c r="CU309" s="20"/>
      <c r="CV309" s="20"/>
      <c r="CW309" s="20"/>
      <c r="CX309" s="96"/>
      <c r="CY309" s="112"/>
      <c r="CZ309" s="20"/>
      <c r="DA309" s="26"/>
      <c r="DB309" s="42"/>
      <c r="DC309" s="43"/>
      <c r="DD309" s="62"/>
      <c r="DE309" s="62"/>
      <c r="DF309" s="4"/>
      <c r="DG309" s="4"/>
      <c r="DH309" s="4"/>
      <c r="DI309" s="4"/>
      <c r="DJ309" s="62"/>
      <c r="DK309" s="62"/>
      <c r="DL309" s="209"/>
      <c r="DM309" s="62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</row>
    <row r="310" spans="1:137" x14ac:dyDescent="0.2">
      <c r="A310" s="102"/>
      <c r="B310" s="148"/>
      <c r="C310" s="19"/>
      <c r="D310" s="19"/>
      <c r="E310" s="82"/>
      <c r="F310" s="82"/>
      <c r="G310" s="9"/>
      <c r="H310" s="93"/>
      <c r="I310" s="47"/>
      <c r="J310" s="94"/>
      <c r="K310" s="20"/>
      <c r="L310" s="20"/>
      <c r="M310" s="20"/>
      <c r="N310" s="20"/>
      <c r="O310" s="20"/>
      <c r="P310" s="20"/>
      <c r="Q310" s="20"/>
      <c r="R310" s="20"/>
      <c r="S310" s="20"/>
      <c r="T310" s="96"/>
      <c r="U310" s="20"/>
      <c r="V310" s="20"/>
      <c r="W310" s="20"/>
      <c r="X310" s="96"/>
      <c r="Y310" s="96"/>
      <c r="Z310" s="96"/>
      <c r="AA310" s="96"/>
      <c r="AB310" s="96"/>
      <c r="AC310" s="96"/>
      <c r="AD310" s="96"/>
      <c r="AE310" s="110"/>
      <c r="AF310" s="110"/>
      <c r="AG310" s="20"/>
      <c r="AH310" s="20"/>
      <c r="AI310" s="20"/>
      <c r="AJ310" s="20"/>
      <c r="AK310" s="20"/>
      <c r="AL310" s="20"/>
      <c r="AM310" s="20"/>
      <c r="AN310" s="254"/>
      <c r="AO310" s="251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96"/>
      <c r="BA310" s="11"/>
      <c r="BB310" s="11"/>
      <c r="BC310" s="96"/>
      <c r="BD310" s="20"/>
      <c r="BE310" s="96"/>
      <c r="BF310" s="20"/>
      <c r="BG310" s="11"/>
      <c r="BH310" s="20"/>
      <c r="BI310" s="20"/>
      <c r="BJ310" s="20"/>
      <c r="BK310" s="20"/>
      <c r="BL310" s="11"/>
      <c r="BM310" s="11"/>
      <c r="BN310" s="112"/>
      <c r="BO310" s="20"/>
      <c r="BP310" s="20"/>
      <c r="BQ310" s="20"/>
      <c r="BR310" s="20"/>
      <c r="BS310" s="11"/>
      <c r="BT310" s="11"/>
      <c r="BU310" s="112"/>
      <c r="BV310" s="112"/>
      <c r="BW310" s="112"/>
      <c r="BX310" s="11"/>
      <c r="BY310" s="20"/>
      <c r="BZ310" s="20"/>
      <c r="CA310" s="20"/>
      <c r="CB310" s="20"/>
      <c r="CC310" s="20"/>
      <c r="CD310" s="20"/>
      <c r="CE310" s="20"/>
      <c r="CF310" s="20"/>
      <c r="CG310" s="96"/>
      <c r="CH310" s="20"/>
      <c r="CI310" s="20"/>
      <c r="CJ310" s="20"/>
      <c r="CK310" s="20"/>
      <c r="CL310" s="20"/>
      <c r="CM310" s="20"/>
      <c r="CN310" s="11"/>
      <c r="CO310" s="20"/>
      <c r="CP310" s="20"/>
      <c r="CQ310" s="20"/>
      <c r="CR310" s="20"/>
      <c r="CS310" s="20"/>
      <c r="CT310" s="20"/>
      <c r="CU310" s="20"/>
      <c r="CV310" s="20"/>
      <c r="CW310" s="20"/>
      <c r="CX310" s="96"/>
      <c r="CY310" s="112"/>
      <c r="CZ310" s="20"/>
      <c r="DA310" s="26"/>
      <c r="DB310" s="42"/>
      <c r="DC310" s="43"/>
      <c r="DD310" s="62"/>
      <c r="DE310" s="62"/>
      <c r="DF310" s="4"/>
      <c r="DG310" s="4"/>
      <c r="DH310" s="4"/>
      <c r="DI310" s="4"/>
      <c r="DJ310" s="62"/>
      <c r="DK310" s="62"/>
      <c r="DL310" s="209"/>
      <c r="DM310" s="62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</row>
    <row r="311" spans="1:137" x14ac:dyDescent="0.2">
      <c r="A311" s="102"/>
      <c r="B311" s="148"/>
      <c r="C311" s="19"/>
      <c r="D311" s="19"/>
      <c r="E311" s="82"/>
      <c r="F311" s="82"/>
      <c r="G311" s="9"/>
      <c r="H311" s="93"/>
      <c r="I311" s="47"/>
      <c r="J311" s="94"/>
      <c r="K311" s="20"/>
      <c r="L311" s="20"/>
      <c r="M311" s="20"/>
      <c r="N311" s="20"/>
      <c r="O311" s="20"/>
      <c r="P311" s="20"/>
      <c r="Q311" s="20"/>
      <c r="R311" s="20"/>
      <c r="S311" s="20"/>
      <c r="T311" s="96"/>
      <c r="U311" s="20"/>
      <c r="V311" s="20"/>
      <c r="W311" s="20"/>
      <c r="X311" s="96"/>
      <c r="Y311" s="96"/>
      <c r="Z311" s="96"/>
      <c r="AA311" s="96"/>
      <c r="AB311" s="96"/>
      <c r="AC311" s="96"/>
      <c r="AD311" s="96"/>
      <c r="AE311" s="110"/>
      <c r="AF311" s="79"/>
      <c r="AG311" s="20"/>
      <c r="AH311" s="20"/>
      <c r="AI311" s="20"/>
      <c r="AJ311" s="20"/>
      <c r="AK311" s="20"/>
      <c r="AL311" s="20"/>
      <c r="AM311" s="20"/>
      <c r="AN311" s="255"/>
      <c r="AO311" s="253"/>
      <c r="AP311" s="20"/>
      <c r="AQ311" s="20"/>
      <c r="AR311" s="20"/>
      <c r="AS311" s="20"/>
      <c r="AT311" s="20"/>
      <c r="AU311" s="20"/>
      <c r="AV311" s="20"/>
      <c r="AW311" s="20"/>
      <c r="AX311" s="20"/>
      <c r="AY311" s="112"/>
      <c r="AZ311" s="11"/>
      <c r="BA311" s="11"/>
      <c r="BB311" s="11"/>
      <c r="BC311" s="96"/>
      <c r="BD311" s="20"/>
      <c r="BE311" s="96"/>
      <c r="BF311" s="20"/>
      <c r="BG311" s="11"/>
      <c r="BH311" s="20"/>
      <c r="BI311" s="20"/>
      <c r="BJ311" s="20"/>
      <c r="BK311" s="20"/>
      <c r="BL311" s="11"/>
      <c r="BM311" s="11"/>
      <c r="BN311" s="112"/>
      <c r="BO311" s="20"/>
      <c r="BP311" s="20"/>
      <c r="BQ311" s="20"/>
      <c r="BR311" s="20"/>
      <c r="BS311" s="11"/>
      <c r="BT311" s="11"/>
      <c r="BU311" s="112"/>
      <c r="BV311" s="112"/>
      <c r="BW311" s="112"/>
      <c r="BX311" s="11"/>
      <c r="BY311" s="20"/>
      <c r="BZ311" s="20"/>
      <c r="CA311" s="20"/>
      <c r="CB311" s="20"/>
      <c r="CC311" s="20"/>
      <c r="CD311" s="20"/>
      <c r="CE311" s="20"/>
      <c r="CF311" s="20"/>
      <c r="CG311" s="96"/>
      <c r="CH311" s="20"/>
      <c r="CI311" s="20"/>
      <c r="CJ311" s="20"/>
      <c r="CK311" s="20"/>
      <c r="CL311" s="20"/>
      <c r="CM311" s="20"/>
      <c r="CN311" s="11"/>
      <c r="CO311" s="20"/>
      <c r="CP311" s="20"/>
      <c r="CQ311" s="20"/>
      <c r="CR311" s="20"/>
      <c r="CS311" s="20"/>
      <c r="CT311" s="20"/>
      <c r="CU311" s="20"/>
      <c r="CV311" s="20"/>
      <c r="CW311" s="20"/>
      <c r="CX311" s="96"/>
      <c r="CY311" s="112"/>
      <c r="CZ311" s="20"/>
      <c r="DA311" s="26"/>
      <c r="DB311" s="53"/>
      <c r="DC311" s="68"/>
      <c r="DD311" s="62"/>
      <c r="DE311" s="209"/>
      <c r="DF311" s="115"/>
      <c r="DG311" s="4"/>
      <c r="DH311" s="115"/>
      <c r="DI311" s="115"/>
      <c r="DJ311" s="62"/>
      <c r="DK311" s="62"/>
      <c r="DL311" s="209"/>
      <c r="DM311" s="62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</row>
    <row r="312" spans="1:137" x14ac:dyDescent="0.2">
      <c r="A312" s="102"/>
      <c r="B312" s="148"/>
      <c r="C312" s="19"/>
      <c r="D312" s="19"/>
      <c r="E312" s="82"/>
      <c r="F312" s="82"/>
      <c r="G312" s="9"/>
      <c r="H312" s="93"/>
      <c r="I312" s="47"/>
      <c r="J312" s="94"/>
      <c r="K312" s="20"/>
      <c r="L312" s="20"/>
      <c r="M312" s="20"/>
      <c r="N312" s="20"/>
      <c r="O312" s="20"/>
      <c r="P312" s="20"/>
      <c r="Q312" s="20"/>
      <c r="R312" s="20"/>
      <c r="S312" s="20"/>
      <c r="T312" s="96"/>
      <c r="U312" s="20"/>
      <c r="V312" s="20"/>
      <c r="W312" s="20"/>
      <c r="X312" s="96"/>
      <c r="Y312" s="96"/>
      <c r="Z312" s="96"/>
      <c r="AA312" s="96"/>
      <c r="AB312" s="96"/>
      <c r="AC312" s="96"/>
      <c r="AD312" s="96"/>
      <c r="AE312" s="110"/>
      <c r="AF312" s="110"/>
      <c r="AG312" s="20"/>
      <c r="AH312" s="20"/>
      <c r="AI312" s="20"/>
      <c r="AJ312" s="20"/>
      <c r="AK312" s="20"/>
      <c r="AL312" s="20"/>
      <c r="AM312" s="20"/>
      <c r="AN312" s="254"/>
      <c r="AO312" s="251"/>
      <c r="AP312" s="112"/>
      <c r="AQ312" s="20"/>
      <c r="AR312" s="112"/>
      <c r="AS312" s="20"/>
      <c r="AT312" s="112"/>
      <c r="AU312" s="20"/>
      <c r="AV312" s="20"/>
      <c r="AW312" s="20"/>
      <c r="AX312" s="20"/>
      <c r="AY312" s="20"/>
      <c r="AZ312" s="96"/>
      <c r="BA312" s="11"/>
      <c r="BB312" s="11"/>
      <c r="BC312" s="96"/>
      <c r="BD312" s="20"/>
      <c r="BE312" s="96"/>
      <c r="BF312" s="20"/>
      <c r="BG312" s="11"/>
      <c r="BH312" s="20"/>
      <c r="BI312" s="20"/>
      <c r="BJ312" s="20"/>
      <c r="BK312" s="20"/>
      <c r="BL312" s="11"/>
      <c r="BM312" s="11"/>
      <c r="BN312" s="112"/>
      <c r="BO312" s="20"/>
      <c r="BP312" s="20"/>
      <c r="BQ312" s="20"/>
      <c r="BR312" s="20"/>
      <c r="BS312" s="11"/>
      <c r="BT312" s="11"/>
      <c r="BU312" s="112"/>
      <c r="BV312" s="112"/>
      <c r="BW312" s="112"/>
      <c r="BX312" s="11"/>
      <c r="BY312" s="20"/>
      <c r="BZ312" s="20"/>
      <c r="CA312" s="20"/>
      <c r="CB312" s="20"/>
      <c r="CC312" s="20"/>
      <c r="CD312" s="20"/>
      <c r="CE312" s="20"/>
      <c r="CF312" s="20"/>
      <c r="CG312" s="96"/>
      <c r="CH312" s="20"/>
      <c r="CI312" s="20"/>
      <c r="CJ312" s="20"/>
      <c r="CK312" s="20"/>
      <c r="CL312" s="20"/>
      <c r="CM312" s="20"/>
      <c r="CN312" s="11"/>
      <c r="CO312" s="20"/>
      <c r="CP312" s="20"/>
      <c r="CQ312" s="20"/>
      <c r="CR312" s="20"/>
      <c r="CS312" s="20"/>
      <c r="CT312" s="20"/>
      <c r="CU312" s="20"/>
      <c r="CV312" s="20"/>
      <c r="CW312" s="20"/>
      <c r="CX312" s="96"/>
      <c r="CY312" s="112"/>
      <c r="CZ312" s="20"/>
      <c r="DA312" s="26"/>
      <c r="DB312" s="42"/>
      <c r="DC312" s="43"/>
      <c r="DD312" s="62"/>
      <c r="DE312" s="62"/>
      <c r="DF312" s="4"/>
      <c r="DG312" s="4"/>
      <c r="DH312" s="4"/>
      <c r="DI312" s="4"/>
      <c r="DJ312" s="62"/>
      <c r="DK312" s="62"/>
      <c r="DL312" s="209"/>
      <c r="DM312" s="62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</row>
    <row r="313" spans="1:137" x14ac:dyDescent="0.2">
      <c r="A313" s="102"/>
      <c r="B313" s="148"/>
      <c r="C313" s="19"/>
      <c r="D313" s="19"/>
      <c r="E313" s="82"/>
      <c r="F313" s="82"/>
      <c r="G313" s="9"/>
      <c r="H313" s="93"/>
      <c r="I313" s="47"/>
      <c r="J313" s="94"/>
      <c r="K313" s="20"/>
      <c r="L313" s="20"/>
      <c r="M313" s="20"/>
      <c r="N313" s="20"/>
      <c r="O313" s="20"/>
      <c r="P313" s="20"/>
      <c r="Q313" s="20"/>
      <c r="R313" s="20"/>
      <c r="S313" s="20"/>
      <c r="T313" s="96"/>
      <c r="U313" s="20"/>
      <c r="V313" s="20"/>
      <c r="W313" s="20"/>
      <c r="X313" s="96"/>
      <c r="Y313" s="96"/>
      <c r="Z313" s="96"/>
      <c r="AA313" s="96"/>
      <c r="AB313" s="96"/>
      <c r="AC313" s="96"/>
      <c r="AD313" s="96"/>
      <c r="AE313" s="110"/>
      <c r="AF313" s="110"/>
      <c r="AG313" s="20"/>
      <c r="AH313" s="20"/>
      <c r="AI313" s="20"/>
      <c r="AJ313" s="20"/>
      <c r="AK313" s="20"/>
      <c r="AL313" s="20"/>
      <c r="AM313" s="20"/>
      <c r="AN313" s="254"/>
      <c r="AO313" s="251"/>
      <c r="AP313" s="20"/>
      <c r="AQ313" s="20"/>
      <c r="AR313" s="20"/>
      <c r="AS313" s="20"/>
      <c r="AT313" s="20"/>
      <c r="AU313" s="20"/>
      <c r="AV313" s="20"/>
      <c r="AW313" s="20"/>
      <c r="AX313" s="112"/>
      <c r="AY313" s="112"/>
      <c r="AZ313" s="96"/>
      <c r="BA313" s="11"/>
      <c r="BB313" s="11"/>
      <c r="BC313" s="11"/>
      <c r="BD313" s="20"/>
      <c r="BE313" s="11"/>
      <c r="BF313" s="20"/>
      <c r="BG313" s="20"/>
      <c r="BH313" s="20"/>
      <c r="BI313" s="20"/>
      <c r="BJ313" s="20"/>
      <c r="BK313" s="20"/>
      <c r="BL313" s="11"/>
      <c r="BM313" s="11"/>
      <c r="BN313" s="112"/>
      <c r="BO313" s="20"/>
      <c r="BP313" s="20"/>
      <c r="BQ313" s="20"/>
      <c r="BR313" s="20"/>
      <c r="BS313" s="11"/>
      <c r="BT313" s="11"/>
      <c r="BU313" s="112"/>
      <c r="BV313" s="112"/>
      <c r="BW313" s="112"/>
      <c r="BX313" s="11"/>
      <c r="BY313" s="20"/>
      <c r="BZ313" s="20"/>
      <c r="CA313" s="20"/>
      <c r="CB313" s="20"/>
      <c r="CC313" s="20"/>
      <c r="CD313" s="20"/>
      <c r="CE313" s="20"/>
      <c r="CF313" s="20"/>
      <c r="CG313" s="96"/>
      <c r="CH313" s="20"/>
      <c r="CI313" s="20"/>
      <c r="CJ313" s="20"/>
      <c r="CK313" s="20"/>
      <c r="CL313" s="20"/>
      <c r="CM313" s="20"/>
      <c r="CN313" s="11"/>
      <c r="CO313" s="20"/>
      <c r="CP313" s="20"/>
      <c r="CQ313" s="20"/>
      <c r="CR313" s="20"/>
      <c r="CS313" s="20"/>
      <c r="CT313" s="20"/>
      <c r="CU313" s="20"/>
      <c r="CV313" s="20"/>
      <c r="CW313" s="20"/>
      <c r="CX313" s="96"/>
      <c r="CY313" s="112"/>
      <c r="CZ313" s="20"/>
      <c r="DA313" s="26"/>
      <c r="DB313" s="53"/>
      <c r="DC313" s="68"/>
      <c r="DD313" s="62"/>
      <c r="DE313" s="209"/>
      <c r="DF313" s="115"/>
      <c r="DG313" s="4"/>
      <c r="DH313" s="115"/>
      <c r="DI313" s="115"/>
      <c r="DJ313" s="62"/>
      <c r="DK313" s="62"/>
      <c r="DL313" s="209"/>
      <c r="DM313" s="62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</row>
    <row r="314" spans="1:137" x14ac:dyDescent="0.2">
      <c r="A314" s="102"/>
      <c r="B314" s="200"/>
      <c r="C314" s="19"/>
      <c r="D314" s="19"/>
      <c r="E314" s="82"/>
      <c r="F314" s="82"/>
      <c r="G314" s="9"/>
      <c r="H314" s="93"/>
      <c r="I314" s="47"/>
      <c r="J314" s="94"/>
      <c r="K314" s="112"/>
      <c r="L314" s="112"/>
      <c r="M314" s="112"/>
      <c r="N314" s="112"/>
      <c r="O314" s="112"/>
      <c r="P314" s="112"/>
      <c r="Q314" s="112"/>
      <c r="R314" s="112"/>
      <c r="S314" s="112"/>
      <c r="T314" s="96"/>
      <c r="U314" s="112"/>
      <c r="V314" s="112"/>
      <c r="W314" s="112"/>
      <c r="X314" s="96"/>
      <c r="Y314" s="96"/>
      <c r="Z314" s="96"/>
      <c r="AA314" s="96"/>
      <c r="AB314" s="96"/>
      <c r="AC314" s="96"/>
      <c r="AD314" s="96"/>
      <c r="AE314" s="110"/>
      <c r="AF314" s="110"/>
      <c r="AG314" s="112"/>
      <c r="AH314" s="112"/>
      <c r="AI314" s="112"/>
      <c r="AJ314" s="112"/>
      <c r="AK314" s="112"/>
      <c r="AL314" s="112"/>
      <c r="AM314" s="112"/>
      <c r="AN314" s="255"/>
      <c r="AO314" s="251"/>
      <c r="AP314" s="112"/>
      <c r="AQ314" s="112"/>
      <c r="AR314" s="112"/>
      <c r="AS314" s="112"/>
      <c r="AT314" s="112"/>
      <c r="AU314" s="112"/>
      <c r="AV314" s="112"/>
      <c r="AW314" s="112"/>
      <c r="AX314" s="112"/>
      <c r="AY314" s="112"/>
      <c r="AZ314" s="96"/>
      <c r="BA314" s="11"/>
      <c r="BB314" s="11"/>
      <c r="BC314" s="96"/>
      <c r="BD314" s="112"/>
      <c r="BE314" s="96"/>
      <c r="BF314" s="112"/>
      <c r="BG314" s="112"/>
      <c r="BH314" s="112"/>
      <c r="BI314" s="112"/>
      <c r="BJ314" s="112"/>
      <c r="BK314" s="112"/>
      <c r="BL314" s="96"/>
      <c r="BM314" s="96"/>
      <c r="BN314" s="112"/>
      <c r="BO314" s="112"/>
      <c r="BP314" s="112"/>
      <c r="BQ314" s="112"/>
      <c r="BR314" s="112"/>
      <c r="BS314" s="96"/>
      <c r="BT314" s="96"/>
      <c r="BU314" s="112"/>
      <c r="BV314" s="112"/>
      <c r="BW314" s="112"/>
      <c r="BX314" s="96"/>
      <c r="BY314" s="112"/>
      <c r="BZ314" s="112"/>
      <c r="CA314" s="112"/>
      <c r="CB314" s="112"/>
      <c r="CC314" s="112"/>
      <c r="CD314" s="112"/>
      <c r="CE314" s="112"/>
      <c r="CF314" s="112"/>
      <c r="CG314" s="96"/>
      <c r="CH314" s="112"/>
      <c r="CI314" s="112"/>
      <c r="CJ314" s="112"/>
      <c r="CK314" s="112"/>
      <c r="CL314" s="112"/>
      <c r="CM314" s="112"/>
      <c r="CN314" s="109"/>
      <c r="CO314" s="191"/>
      <c r="CP314" s="112"/>
      <c r="CQ314" s="112"/>
      <c r="CR314" s="191"/>
      <c r="CS314" s="191"/>
      <c r="CT314" s="191"/>
      <c r="CU314" s="191"/>
      <c r="CV314" s="191"/>
      <c r="CW314" s="191"/>
      <c r="CX314" s="109"/>
      <c r="CY314" s="112"/>
      <c r="CZ314" s="112"/>
      <c r="DA314" s="26"/>
      <c r="DB314" s="42"/>
      <c r="DC314" s="43"/>
      <c r="DD314" s="62"/>
      <c r="DE314" s="62"/>
      <c r="DF314" s="4"/>
      <c r="DG314" s="4"/>
      <c r="DH314" s="4"/>
      <c r="DI314" s="4"/>
      <c r="DJ314" s="62"/>
      <c r="DK314" s="62"/>
      <c r="DL314" s="209"/>
      <c r="DM314" s="62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</row>
    <row r="315" spans="1:137" x14ac:dyDescent="0.2">
      <c r="A315" s="102"/>
      <c r="B315" s="148"/>
      <c r="C315" s="19"/>
      <c r="D315" s="19"/>
      <c r="E315" s="82"/>
      <c r="F315" s="82"/>
      <c r="G315" s="9"/>
      <c r="H315" s="93"/>
      <c r="I315" s="47"/>
      <c r="J315" s="94"/>
      <c r="K315" s="20"/>
      <c r="L315" s="20"/>
      <c r="M315" s="20"/>
      <c r="N315" s="20"/>
      <c r="O315" s="20"/>
      <c r="P315" s="20"/>
      <c r="Q315" s="20"/>
      <c r="R315" s="20"/>
      <c r="S315" s="20"/>
      <c r="T315" s="96"/>
      <c r="U315" s="20"/>
      <c r="V315" s="20"/>
      <c r="W315" s="20"/>
      <c r="X315" s="96"/>
      <c r="Y315" s="96"/>
      <c r="Z315" s="96"/>
      <c r="AA315" s="96"/>
      <c r="AB315" s="96"/>
      <c r="AC315" s="96"/>
      <c r="AD315" s="96"/>
      <c r="AE315" s="110"/>
      <c r="AF315" s="110"/>
      <c r="AG315" s="20"/>
      <c r="AH315" s="20"/>
      <c r="AI315" s="20"/>
      <c r="AJ315" s="20"/>
      <c r="AK315" s="20"/>
      <c r="AL315" s="20"/>
      <c r="AM315" s="20"/>
      <c r="AN315" s="254"/>
      <c r="AO315" s="251"/>
      <c r="AP315" s="20"/>
      <c r="AQ315" s="20"/>
      <c r="AR315" s="20"/>
      <c r="AS315" s="20"/>
      <c r="AT315" s="20"/>
      <c r="AU315" s="20"/>
      <c r="AV315" s="20"/>
      <c r="AW315" s="20"/>
      <c r="AX315" s="112"/>
      <c r="AY315" s="112"/>
      <c r="AZ315" s="96"/>
      <c r="BA315" s="11"/>
      <c r="BB315" s="11"/>
      <c r="BC315" s="11"/>
      <c r="BD315" s="20"/>
      <c r="BE315" s="11"/>
      <c r="BF315" s="20"/>
      <c r="BG315" s="20"/>
      <c r="BH315" s="20"/>
      <c r="BI315" s="20"/>
      <c r="BJ315" s="20"/>
      <c r="BK315" s="20"/>
      <c r="BL315" s="11"/>
      <c r="BM315" s="11"/>
      <c r="BN315" s="112"/>
      <c r="BO315" s="20"/>
      <c r="BP315" s="20"/>
      <c r="BQ315" s="20"/>
      <c r="BR315" s="20"/>
      <c r="BS315" s="11"/>
      <c r="BT315" s="11"/>
      <c r="BU315" s="112"/>
      <c r="BV315" s="96"/>
      <c r="BW315" s="112"/>
      <c r="BX315" s="11"/>
      <c r="BY315" s="20"/>
      <c r="BZ315" s="20"/>
      <c r="CA315" s="20"/>
      <c r="CB315" s="20"/>
      <c r="CC315" s="20"/>
      <c r="CD315" s="20"/>
      <c r="CE315" s="20"/>
      <c r="CF315" s="20"/>
      <c r="CG315" s="96"/>
      <c r="CH315" s="20"/>
      <c r="CI315" s="20"/>
      <c r="CJ315" s="20"/>
      <c r="CK315" s="20"/>
      <c r="CL315" s="20"/>
      <c r="CM315" s="20"/>
      <c r="CN315" s="11"/>
      <c r="CO315" s="20"/>
      <c r="CP315" s="20"/>
      <c r="CQ315" s="20"/>
      <c r="CR315" s="20"/>
      <c r="CS315" s="20"/>
      <c r="CT315" s="20"/>
      <c r="CU315" s="20"/>
      <c r="CV315" s="20"/>
      <c r="CW315" s="20"/>
      <c r="CX315" s="96"/>
      <c r="CY315" s="112"/>
      <c r="CZ315" s="20"/>
      <c r="DA315" s="26"/>
      <c r="DB315" s="42"/>
      <c r="DC315" s="43"/>
      <c r="DD315" s="62"/>
      <c r="DE315" s="62"/>
      <c r="DF315" s="4"/>
      <c r="DG315" s="4"/>
      <c r="DH315" s="4"/>
      <c r="DI315" s="4"/>
      <c r="DJ315" s="62"/>
      <c r="DK315" s="62"/>
      <c r="DL315" s="209"/>
      <c r="DM315" s="62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</row>
    <row r="316" spans="1:137" x14ac:dyDescent="0.2">
      <c r="A316" s="102"/>
      <c r="B316" s="200"/>
      <c r="C316" s="19"/>
      <c r="D316" s="19"/>
      <c r="E316" s="82"/>
      <c r="F316" s="82"/>
      <c r="G316" s="9"/>
      <c r="H316" s="93"/>
      <c r="I316" s="47"/>
      <c r="J316" s="94"/>
      <c r="K316" s="112"/>
      <c r="L316" s="112"/>
      <c r="M316" s="112"/>
      <c r="N316" s="112"/>
      <c r="O316" s="112"/>
      <c r="P316" s="112"/>
      <c r="Q316" s="112"/>
      <c r="R316" s="112"/>
      <c r="S316" s="112"/>
      <c r="T316" s="96"/>
      <c r="U316" s="112"/>
      <c r="V316" s="112"/>
      <c r="W316" s="112"/>
      <c r="X316" s="96"/>
      <c r="Y316" s="96"/>
      <c r="Z316" s="96"/>
      <c r="AA316" s="96"/>
      <c r="AB316" s="96"/>
      <c r="AC316" s="96"/>
      <c r="AD316" s="96"/>
      <c r="AE316" s="110"/>
      <c r="AF316" s="110"/>
      <c r="AG316" s="112"/>
      <c r="AH316" s="112"/>
      <c r="AI316" s="112"/>
      <c r="AJ316" s="112"/>
      <c r="AK316" s="112"/>
      <c r="AL316" s="112"/>
      <c r="AM316" s="112"/>
      <c r="AN316" s="255"/>
      <c r="AO316" s="251"/>
      <c r="AP316" s="112"/>
      <c r="AQ316" s="112"/>
      <c r="AR316" s="112"/>
      <c r="AS316" s="112"/>
      <c r="AT316" s="112"/>
      <c r="AU316" s="112"/>
      <c r="AV316" s="112"/>
      <c r="AW316" s="112"/>
      <c r="AX316" s="112"/>
      <c r="AY316" s="112"/>
      <c r="AZ316" s="96"/>
      <c r="BA316" s="11"/>
      <c r="BB316" s="11"/>
      <c r="BC316" s="96"/>
      <c r="BD316" s="112"/>
      <c r="BE316" s="96"/>
      <c r="BF316" s="112"/>
      <c r="BG316" s="112"/>
      <c r="BH316" s="112"/>
      <c r="BI316" s="112"/>
      <c r="BJ316" s="112"/>
      <c r="BK316" s="112"/>
      <c r="BL316" s="96"/>
      <c r="BM316" s="96"/>
      <c r="BN316" s="112"/>
      <c r="BO316" s="112"/>
      <c r="BP316" s="112"/>
      <c r="BQ316" s="112"/>
      <c r="BR316" s="112"/>
      <c r="BS316" s="96"/>
      <c r="BT316" s="96"/>
      <c r="BU316" s="112"/>
      <c r="BV316" s="11"/>
      <c r="BW316" s="112"/>
      <c r="BX316" s="96"/>
      <c r="BY316" s="112"/>
      <c r="BZ316" s="112"/>
      <c r="CA316" s="112"/>
      <c r="CB316" s="112"/>
      <c r="CC316" s="112"/>
      <c r="CD316" s="112"/>
      <c r="CE316" s="112"/>
      <c r="CF316" s="112"/>
      <c r="CG316" s="96"/>
      <c r="CH316" s="112"/>
      <c r="CI316" s="112"/>
      <c r="CJ316" s="112"/>
      <c r="CK316" s="112"/>
      <c r="CL316" s="112"/>
      <c r="CM316" s="112"/>
      <c r="CN316" s="96"/>
      <c r="CO316" s="112"/>
      <c r="CP316" s="112"/>
      <c r="CQ316" s="112"/>
      <c r="CR316" s="112"/>
      <c r="CS316" s="112"/>
      <c r="CT316" s="112"/>
      <c r="CU316" s="112"/>
      <c r="CV316" s="112"/>
      <c r="CW316" s="112"/>
      <c r="CX316" s="96"/>
      <c r="CY316" s="112"/>
      <c r="CZ316" s="112"/>
      <c r="DA316" s="26"/>
      <c r="DB316" s="42"/>
      <c r="DC316" s="43"/>
      <c r="DD316" s="62"/>
      <c r="DE316" s="62"/>
      <c r="DF316" s="4"/>
      <c r="DG316" s="4"/>
      <c r="DH316" s="4"/>
      <c r="DI316" s="4"/>
      <c r="DJ316" s="62"/>
      <c r="DK316" s="62"/>
      <c r="DL316" s="209"/>
      <c r="DM316" s="62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</row>
    <row r="317" spans="1:137" x14ac:dyDescent="0.2">
      <c r="A317" s="102"/>
      <c r="B317" s="200"/>
      <c r="C317" s="19"/>
      <c r="D317" s="19"/>
      <c r="E317" s="82"/>
      <c r="F317" s="82"/>
      <c r="G317" s="9"/>
      <c r="H317" s="93"/>
      <c r="I317" s="47"/>
      <c r="J317" s="113"/>
      <c r="K317" s="112"/>
      <c r="L317" s="112"/>
      <c r="M317" s="112"/>
      <c r="N317" s="112"/>
      <c r="O317" s="112"/>
      <c r="P317" s="112"/>
      <c r="Q317" s="112"/>
      <c r="R317" s="112"/>
      <c r="S317" s="112"/>
      <c r="T317" s="96"/>
      <c r="U317" s="112"/>
      <c r="V317" s="112"/>
      <c r="W317" s="112"/>
      <c r="X317" s="96"/>
      <c r="Y317" s="96"/>
      <c r="Z317" s="96"/>
      <c r="AA317" s="96"/>
      <c r="AB317" s="96"/>
      <c r="AC317" s="96"/>
      <c r="AD317" s="96"/>
      <c r="AE317" s="110"/>
      <c r="AF317" s="110"/>
      <c r="AG317" s="112"/>
      <c r="AH317" s="112"/>
      <c r="AI317" s="112"/>
      <c r="AJ317" s="112"/>
      <c r="AK317" s="112"/>
      <c r="AL317" s="112"/>
      <c r="AM317" s="112"/>
      <c r="AN317" s="255"/>
      <c r="AO317" s="251"/>
      <c r="AP317" s="112"/>
      <c r="AQ317" s="112"/>
      <c r="AR317" s="112"/>
      <c r="AS317" s="112"/>
      <c r="AT317" s="112"/>
      <c r="AU317" s="112"/>
      <c r="AV317" s="112"/>
      <c r="AW317" s="112"/>
      <c r="AX317" s="112"/>
      <c r="AY317" s="112"/>
      <c r="AZ317" s="96"/>
      <c r="BA317" s="11"/>
      <c r="BB317" s="11"/>
      <c r="BC317" s="109"/>
      <c r="BD317" s="112"/>
      <c r="BE317" s="109"/>
      <c r="BF317" s="112"/>
      <c r="BG317" s="112"/>
      <c r="BH317" s="112"/>
      <c r="BI317" s="112"/>
      <c r="BJ317" s="112"/>
      <c r="BK317" s="112"/>
      <c r="BL317" s="96"/>
      <c r="BM317" s="96"/>
      <c r="BN317" s="112"/>
      <c r="BO317" s="112"/>
      <c r="BP317" s="112"/>
      <c r="BQ317" s="112"/>
      <c r="BR317" s="191"/>
      <c r="BS317" s="96"/>
      <c r="BT317" s="96"/>
      <c r="BU317" s="112"/>
      <c r="BV317" s="11"/>
      <c r="BW317" s="112"/>
      <c r="BX317" s="96"/>
      <c r="BY317" s="112"/>
      <c r="BZ317" s="112"/>
      <c r="CA317" s="112"/>
      <c r="CB317" s="112"/>
      <c r="CC317" s="112"/>
      <c r="CD317" s="112"/>
      <c r="CE317" s="112"/>
      <c r="CF317" s="112"/>
      <c r="CG317" s="96"/>
      <c r="CH317" s="112"/>
      <c r="CI317" s="112"/>
      <c r="CJ317" s="112"/>
      <c r="CK317" s="112"/>
      <c r="CL317" s="112"/>
      <c r="CM317" s="112"/>
      <c r="CN317" s="96"/>
      <c r="CO317" s="112"/>
      <c r="CP317" s="112"/>
      <c r="CQ317" s="112"/>
      <c r="CR317" s="112"/>
      <c r="CS317" s="112"/>
      <c r="CT317" s="112"/>
      <c r="CU317" s="112"/>
      <c r="CV317" s="112"/>
      <c r="CW317" s="112"/>
      <c r="CX317" s="96"/>
      <c r="CY317" s="112"/>
      <c r="CZ317" s="112"/>
      <c r="DA317" s="26"/>
      <c r="DB317" s="42"/>
      <c r="DC317" s="43"/>
      <c r="DD317" s="62"/>
      <c r="DE317" s="62"/>
      <c r="DF317" s="4"/>
      <c r="DG317" s="4"/>
      <c r="DH317" s="4"/>
      <c r="DI317" s="4"/>
      <c r="DJ317" s="62"/>
      <c r="DK317" s="62"/>
      <c r="DL317" s="209"/>
      <c r="DM317" s="62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</row>
    <row r="318" spans="1:137" x14ac:dyDescent="0.2">
      <c r="A318" s="102"/>
      <c r="B318" s="189"/>
      <c r="C318" s="19"/>
      <c r="D318" s="19"/>
      <c r="E318" s="82"/>
      <c r="F318" s="82"/>
      <c r="G318" s="9"/>
      <c r="H318" s="93"/>
      <c r="I318" s="47"/>
      <c r="J318" s="94"/>
      <c r="K318" s="112"/>
      <c r="L318" s="112"/>
      <c r="M318" s="112"/>
      <c r="N318" s="112"/>
      <c r="O318" s="112"/>
      <c r="P318" s="112"/>
      <c r="Q318" s="112"/>
      <c r="R318" s="112"/>
      <c r="S318" s="112"/>
      <c r="T318" s="96"/>
      <c r="U318" s="112"/>
      <c r="V318" s="112"/>
      <c r="W318" s="112"/>
      <c r="X318" s="96"/>
      <c r="Y318" s="96"/>
      <c r="Z318" s="96"/>
      <c r="AA318" s="96"/>
      <c r="AB318" s="96"/>
      <c r="AC318" s="96"/>
      <c r="AD318" s="96"/>
      <c r="AE318" s="110"/>
      <c r="AF318" s="110"/>
      <c r="AG318" s="112"/>
      <c r="AH318" s="112"/>
      <c r="AI318" s="112"/>
      <c r="AJ318" s="112"/>
      <c r="AK318" s="112"/>
      <c r="AL318" s="112"/>
      <c r="AM318" s="112"/>
      <c r="AN318" s="255"/>
      <c r="AO318" s="251"/>
      <c r="AP318" s="112"/>
      <c r="AQ318" s="112"/>
      <c r="AR318" s="112"/>
      <c r="AS318" s="112"/>
      <c r="AT318" s="112"/>
      <c r="AU318" s="112"/>
      <c r="AV318" s="112"/>
      <c r="AW318" s="112"/>
      <c r="AX318" s="112"/>
      <c r="AY318" s="112"/>
      <c r="AZ318" s="96"/>
      <c r="BA318" s="11"/>
      <c r="BB318" s="11"/>
      <c r="BC318" s="96"/>
      <c r="BD318" s="112"/>
      <c r="BE318" s="96"/>
      <c r="BF318" s="112"/>
      <c r="BG318" s="112"/>
      <c r="BH318" s="112"/>
      <c r="BI318" s="112"/>
      <c r="BJ318" s="112"/>
      <c r="BK318" s="112"/>
      <c r="BL318" s="96"/>
      <c r="BM318" s="96"/>
      <c r="BN318" s="112"/>
      <c r="BO318" s="112"/>
      <c r="BP318" s="112"/>
      <c r="BQ318" s="112"/>
      <c r="BR318" s="112"/>
      <c r="BS318" s="96"/>
      <c r="BT318" s="96"/>
      <c r="BU318" s="112"/>
      <c r="BV318" s="11"/>
      <c r="BW318" s="112"/>
      <c r="BX318" s="96"/>
      <c r="BY318" s="112"/>
      <c r="BZ318" s="112"/>
      <c r="CA318" s="112"/>
      <c r="CB318" s="112"/>
      <c r="CC318" s="112"/>
      <c r="CD318" s="112"/>
      <c r="CE318" s="112"/>
      <c r="CF318" s="112"/>
      <c r="CG318" s="96"/>
      <c r="CH318" s="112"/>
      <c r="CI318" s="112"/>
      <c r="CJ318" s="112"/>
      <c r="CK318" s="112"/>
      <c r="CL318" s="112"/>
      <c r="CM318" s="112"/>
      <c r="CN318" s="96"/>
      <c r="CO318" s="112"/>
      <c r="CP318" s="112"/>
      <c r="CQ318" s="112"/>
      <c r="CR318" s="112"/>
      <c r="CS318" s="112"/>
      <c r="CT318" s="112"/>
      <c r="CU318" s="112"/>
      <c r="CV318" s="112"/>
      <c r="CW318" s="112"/>
      <c r="CX318" s="96"/>
      <c r="CY318" s="112"/>
      <c r="CZ318" s="112"/>
      <c r="DA318" s="26"/>
      <c r="DB318" s="42"/>
      <c r="DC318" s="43"/>
      <c r="DD318" s="62"/>
      <c r="DE318" s="62"/>
      <c r="DF318" s="4"/>
      <c r="DG318" s="4"/>
      <c r="DH318" s="4"/>
      <c r="DI318" s="4"/>
      <c r="DJ318" s="62"/>
      <c r="DK318" s="62"/>
      <c r="DL318" s="209"/>
      <c r="DM318" s="62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</row>
    <row r="319" spans="1:137" x14ac:dyDescent="0.2">
      <c r="A319" s="102"/>
      <c r="B319" s="189"/>
      <c r="C319" s="19"/>
      <c r="D319" s="19"/>
      <c r="E319" s="82"/>
      <c r="F319" s="82"/>
      <c r="G319" s="9"/>
      <c r="H319" s="93"/>
      <c r="I319" s="47"/>
      <c r="J319" s="94"/>
      <c r="K319" s="20"/>
      <c r="L319" s="20"/>
      <c r="M319" s="20"/>
      <c r="N319" s="20"/>
      <c r="O319" s="20"/>
      <c r="P319" s="20"/>
      <c r="Q319" s="20"/>
      <c r="R319" s="20"/>
      <c r="S319" s="112"/>
      <c r="T319" s="11"/>
      <c r="U319" s="20"/>
      <c r="V319" s="20"/>
      <c r="W319" s="20"/>
      <c r="X319" s="96"/>
      <c r="Y319" s="11"/>
      <c r="Z319" s="11"/>
      <c r="AA319" s="96"/>
      <c r="AB319" s="11"/>
      <c r="AC319" s="11"/>
      <c r="AD319" s="96"/>
      <c r="AE319" s="79"/>
      <c r="AF319" s="79"/>
      <c r="AG319" s="20"/>
      <c r="AH319" s="20"/>
      <c r="AI319" s="20"/>
      <c r="AJ319" s="20"/>
      <c r="AK319" s="20"/>
      <c r="AL319" s="20"/>
      <c r="AM319" s="20"/>
      <c r="AN319" s="254"/>
      <c r="AO319" s="251"/>
      <c r="AP319" s="20"/>
      <c r="AQ319" s="112"/>
      <c r="AR319" s="20"/>
      <c r="AS319" s="20"/>
      <c r="AT319" s="20"/>
      <c r="AU319" s="20"/>
      <c r="AV319" s="20"/>
      <c r="AW319" s="20"/>
      <c r="AX319" s="20"/>
      <c r="AY319" s="112"/>
      <c r="AZ319" s="96"/>
      <c r="BA319" s="11"/>
      <c r="BB319" s="11"/>
      <c r="BC319" s="11"/>
      <c r="BD319" s="20"/>
      <c r="BE319" s="11"/>
      <c r="BF319" s="20"/>
      <c r="BG319" s="20"/>
      <c r="BH319" s="20"/>
      <c r="BI319" s="20"/>
      <c r="BJ319" s="20"/>
      <c r="BK319" s="20"/>
      <c r="BL319" s="11"/>
      <c r="BM319" s="96"/>
      <c r="BN319" s="20"/>
      <c r="BO319" s="112"/>
      <c r="BP319" s="20"/>
      <c r="BQ319" s="20"/>
      <c r="BR319" s="11"/>
      <c r="BS319" s="11"/>
      <c r="BT319" s="96"/>
      <c r="BU319" s="96"/>
      <c r="BV319" s="11"/>
      <c r="BW319" s="11"/>
      <c r="BX319" s="11"/>
      <c r="BY319" s="112"/>
      <c r="BZ319" s="20"/>
      <c r="CA319" s="20"/>
      <c r="CB319" s="20"/>
      <c r="CC319" s="20"/>
      <c r="CD319" s="20"/>
      <c r="CE319" s="20"/>
      <c r="CF319" s="20"/>
      <c r="CG319" s="96"/>
      <c r="CH319" s="20"/>
      <c r="CI319" s="20"/>
      <c r="CJ319" s="112"/>
      <c r="CK319" s="112"/>
      <c r="CL319" s="20"/>
      <c r="CM319" s="20"/>
      <c r="CN319" s="11"/>
      <c r="CO319" s="20"/>
      <c r="CP319" s="20"/>
      <c r="CQ319" s="20"/>
      <c r="CR319" s="20"/>
      <c r="CS319" s="20"/>
      <c r="CT319" s="20"/>
      <c r="CU319" s="20"/>
      <c r="CV319" s="20"/>
      <c r="CW319" s="20"/>
      <c r="CX319" s="11"/>
      <c r="CY319" s="20"/>
      <c r="CZ319" s="20"/>
      <c r="DA319" s="26"/>
      <c r="DB319" s="42"/>
      <c r="DC319" s="43"/>
      <c r="DD319" s="62"/>
      <c r="DE319" s="62"/>
      <c r="DF319" s="4"/>
      <c r="DG319" s="4"/>
      <c r="DH319" s="4"/>
      <c r="DI319" s="4"/>
      <c r="DJ319" s="62"/>
      <c r="DK319" s="62"/>
      <c r="DL319" s="209"/>
      <c r="DM319" s="62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</row>
    <row r="320" spans="1:137" x14ac:dyDescent="0.2">
      <c r="A320" s="102"/>
      <c r="B320" s="148"/>
      <c r="C320" s="19"/>
      <c r="D320" s="19"/>
      <c r="E320" s="82"/>
      <c r="F320" s="82"/>
      <c r="G320" s="9"/>
      <c r="H320" s="93"/>
      <c r="I320" s="47"/>
      <c r="J320" s="94"/>
      <c r="K320" s="20"/>
      <c r="L320" s="20"/>
      <c r="M320" s="20"/>
      <c r="N320" s="20"/>
      <c r="O320" s="20"/>
      <c r="P320" s="20"/>
      <c r="Q320" s="20"/>
      <c r="R320" s="20"/>
      <c r="S320" s="20"/>
      <c r="T320" s="96"/>
      <c r="U320" s="20"/>
      <c r="V320" s="20"/>
      <c r="W320" s="20"/>
      <c r="X320" s="96"/>
      <c r="Y320" s="96"/>
      <c r="Z320" s="96"/>
      <c r="AA320" s="96"/>
      <c r="AB320" s="96"/>
      <c r="AC320" s="96"/>
      <c r="AD320" s="96"/>
      <c r="AE320" s="110"/>
      <c r="AF320" s="110"/>
      <c r="AG320" s="20"/>
      <c r="AH320" s="20"/>
      <c r="AI320" s="20"/>
      <c r="AJ320" s="20"/>
      <c r="AK320" s="20"/>
      <c r="AL320" s="20"/>
      <c r="AM320" s="20"/>
      <c r="AN320" s="254"/>
      <c r="AO320" s="251"/>
      <c r="AP320" s="20"/>
      <c r="AQ320" s="20"/>
      <c r="AR320" s="20"/>
      <c r="AS320" s="20"/>
      <c r="AT320" s="20"/>
      <c r="AU320" s="20"/>
      <c r="AV320" s="20"/>
      <c r="AW320" s="20"/>
      <c r="AX320" s="112"/>
      <c r="AY320" s="112"/>
      <c r="AZ320" s="96"/>
      <c r="BA320" s="11"/>
      <c r="BB320" s="11"/>
      <c r="BC320" s="96"/>
      <c r="BD320" s="20"/>
      <c r="BE320" s="96"/>
      <c r="BF320" s="20"/>
      <c r="BG320" s="20"/>
      <c r="BH320" s="20"/>
      <c r="BI320" s="20"/>
      <c r="BJ320" s="20"/>
      <c r="BK320" s="20"/>
      <c r="BL320" s="11"/>
      <c r="BM320" s="11"/>
      <c r="BN320" s="112"/>
      <c r="BO320" s="20"/>
      <c r="BP320" s="20"/>
      <c r="BQ320" s="20"/>
      <c r="BR320" s="20"/>
      <c r="BS320" s="11"/>
      <c r="BT320" s="11"/>
      <c r="BU320" s="112"/>
      <c r="BV320" s="11"/>
      <c r="BW320" s="112"/>
      <c r="BX320" s="11"/>
      <c r="BY320" s="20"/>
      <c r="BZ320" s="20"/>
      <c r="CA320" s="20"/>
      <c r="CB320" s="20"/>
      <c r="CC320" s="20"/>
      <c r="CD320" s="20"/>
      <c r="CE320" s="20"/>
      <c r="CF320" s="20"/>
      <c r="CG320" s="96"/>
      <c r="CH320" s="20"/>
      <c r="CI320" s="20"/>
      <c r="CJ320" s="20"/>
      <c r="CK320" s="20"/>
      <c r="CL320" s="20"/>
      <c r="CM320" s="20"/>
      <c r="CN320" s="11"/>
      <c r="CO320" s="20"/>
      <c r="CP320" s="20"/>
      <c r="CQ320" s="20"/>
      <c r="CR320" s="20"/>
      <c r="CS320" s="20"/>
      <c r="CT320" s="20"/>
      <c r="CU320" s="20"/>
      <c r="CV320" s="20"/>
      <c r="CW320" s="20"/>
      <c r="CX320" s="96"/>
      <c r="CY320" s="112"/>
      <c r="CZ320" s="20"/>
      <c r="DA320" s="26"/>
      <c r="DB320" s="53"/>
      <c r="DC320" s="68"/>
      <c r="DD320" s="62"/>
      <c r="DE320" s="209"/>
      <c r="DF320" s="115"/>
      <c r="DG320" s="4"/>
      <c r="DH320" s="115"/>
      <c r="DI320" s="115"/>
      <c r="DJ320" s="62"/>
      <c r="DK320" s="62"/>
      <c r="DL320" s="209"/>
      <c r="DM320" s="62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</row>
    <row r="321" spans="1:137" x14ac:dyDescent="0.2">
      <c r="A321" s="102"/>
      <c r="B321" s="189"/>
      <c r="C321" s="19"/>
      <c r="D321" s="19"/>
      <c r="E321" s="82"/>
      <c r="F321" s="82"/>
      <c r="G321" s="9"/>
      <c r="H321" s="93"/>
      <c r="I321" s="47"/>
      <c r="J321" s="94"/>
      <c r="K321" s="112"/>
      <c r="L321" s="112"/>
      <c r="M321" s="112"/>
      <c r="N321" s="112"/>
      <c r="O321" s="112"/>
      <c r="P321" s="112"/>
      <c r="Q321" s="112"/>
      <c r="R321" s="112"/>
      <c r="S321" s="112"/>
      <c r="T321" s="96"/>
      <c r="U321" s="112"/>
      <c r="V321" s="112"/>
      <c r="W321" s="112"/>
      <c r="X321" s="96"/>
      <c r="Y321" s="96"/>
      <c r="Z321" s="96"/>
      <c r="AA321" s="96"/>
      <c r="AB321" s="96"/>
      <c r="AC321" s="96"/>
      <c r="AD321" s="96"/>
      <c r="AE321" s="110"/>
      <c r="AF321" s="110"/>
      <c r="AG321" s="112"/>
      <c r="AH321" s="96"/>
      <c r="AI321" s="112"/>
      <c r="AJ321" s="112"/>
      <c r="AK321" s="112"/>
      <c r="AL321" s="112"/>
      <c r="AM321" s="112"/>
      <c r="AN321" s="255"/>
      <c r="AO321" s="251"/>
      <c r="AP321" s="112"/>
      <c r="AQ321" s="112"/>
      <c r="AR321" s="112"/>
      <c r="AS321" s="112"/>
      <c r="AT321" s="112"/>
      <c r="AU321" s="112"/>
      <c r="AV321" s="112"/>
      <c r="AW321" s="112"/>
      <c r="AX321" s="112"/>
      <c r="AY321" s="112"/>
      <c r="AZ321" s="96"/>
      <c r="BA321" s="11"/>
      <c r="BB321" s="11"/>
      <c r="BC321" s="96"/>
      <c r="BD321" s="112"/>
      <c r="BE321" s="96"/>
      <c r="BF321" s="112"/>
      <c r="BG321" s="112"/>
      <c r="BH321" s="112"/>
      <c r="BI321" s="112"/>
      <c r="BJ321" s="112"/>
      <c r="BK321" s="112"/>
      <c r="BL321" s="96"/>
      <c r="BM321" s="96"/>
      <c r="BN321" s="112"/>
      <c r="BO321" s="112"/>
      <c r="BP321" s="112"/>
      <c r="BQ321" s="112"/>
      <c r="BR321" s="96"/>
      <c r="BS321" s="96"/>
      <c r="BT321" s="96"/>
      <c r="BU321" s="112"/>
      <c r="BV321" s="11"/>
      <c r="BW321" s="112"/>
      <c r="BX321" s="96"/>
      <c r="BY321" s="112"/>
      <c r="BZ321" s="112"/>
      <c r="CA321" s="112"/>
      <c r="CB321" s="112"/>
      <c r="CC321" s="112"/>
      <c r="CD321" s="112"/>
      <c r="CE321" s="112"/>
      <c r="CF321" s="112"/>
      <c r="CG321" s="96"/>
      <c r="CH321" s="112"/>
      <c r="CI321" s="112"/>
      <c r="CJ321" s="112"/>
      <c r="CK321" s="112"/>
      <c r="CL321" s="112"/>
      <c r="CM321" s="112"/>
      <c r="CN321" s="96"/>
      <c r="CO321" s="112"/>
      <c r="CP321" s="112"/>
      <c r="CQ321" s="112"/>
      <c r="CR321" s="112"/>
      <c r="CS321" s="112"/>
      <c r="CT321" s="112"/>
      <c r="CU321" s="112"/>
      <c r="CV321" s="112"/>
      <c r="CW321" s="112"/>
      <c r="CX321" s="96"/>
      <c r="CY321" s="112"/>
      <c r="CZ321" s="112"/>
      <c r="DA321" s="26"/>
      <c r="DB321" s="42"/>
      <c r="DC321" s="43"/>
      <c r="DD321" s="62"/>
      <c r="DE321" s="62"/>
      <c r="DF321" s="4"/>
      <c r="DG321" s="4"/>
      <c r="DH321" s="4"/>
      <c r="DI321" s="4"/>
      <c r="DJ321" s="62"/>
      <c r="DK321" s="62"/>
      <c r="DL321" s="209"/>
      <c r="DM321" s="62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</row>
    <row r="322" spans="1:137" x14ac:dyDescent="0.2">
      <c r="A322" s="102"/>
      <c r="B322" s="148"/>
      <c r="C322" s="19"/>
      <c r="D322" s="19"/>
      <c r="E322" s="82"/>
      <c r="F322" s="82"/>
      <c r="G322" s="9"/>
      <c r="H322" s="93"/>
      <c r="I322" s="47"/>
      <c r="J322" s="94"/>
      <c r="K322" s="20"/>
      <c r="L322" s="20"/>
      <c r="M322" s="20"/>
      <c r="N322" s="20"/>
      <c r="O322" s="20"/>
      <c r="P322" s="20"/>
      <c r="Q322" s="20"/>
      <c r="R322" s="20"/>
      <c r="S322" s="20"/>
      <c r="T322" s="96"/>
      <c r="U322" s="20"/>
      <c r="V322" s="20"/>
      <c r="W322" s="20"/>
      <c r="X322" s="96"/>
      <c r="Y322" s="96"/>
      <c r="Z322" s="96"/>
      <c r="AA322" s="96"/>
      <c r="AB322" s="96"/>
      <c r="AC322" s="96"/>
      <c r="AD322" s="96"/>
      <c r="AE322" s="110"/>
      <c r="AF322" s="110"/>
      <c r="AG322" s="20"/>
      <c r="AH322" s="11"/>
      <c r="AI322" s="20"/>
      <c r="AJ322" s="20"/>
      <c r="AK322" s="20"/>
      <c r="AL322" s="20"/>
      <c r="AM322" s="20"/>
      <c r="AN322" s="254"/>
      <c r="AO322" s="251"/>
      <c r="AP322" s="20"/>
      <c r="AQ322" s="20"/>
      <c r="AR322" s="20"/>
      <c r="AS322" s="20"/>
      <c r="AT322" s="20"/>
      <c r="AU322" s="20"/>
      <c r="AV322" s="20"/>
      <c r="AW322" s="20"/>
      <c r="AX322" s="112"/>
      <c r="AY322" s="20"/>
      <c r="AZ322" s="96"/>
      <c r="BA322" s="11"/>
      <c r="BB322" s="11"/>
      <c r="BC322" s="11"/>
      <c r="BD322" s="20"/>
      <c r="BE322" s="11"/>
      <c r="BF322" s="20"/>
      <c r="BG322" s="11"/>
      <c r="BH322" s="20"/>
      <c r="BI322" s="20"/>
      <c r="BJ322" s="20"/>
      <c r="BK322" s="20"/>
      <c r="BL322" s="11"/>
      <c r="BM322" s="11"/>
      <c r="BN322" s="112"/>
      <c r="BO322" s="20"/>
      <c r="BP322" s="20"/>
      <c r="BQ322" s="20"/>
      <c r="BR322" s="20"/>
      <c r="BS322" s="11"/>
      <c r="BT322" s="11"/>
      <c r="BU322" s="112"/>
      <c r="BV322" s="11"/>
      <c r="BW322" s="112"/>
      <c r="BX322" s="11"/>
      <c r="BY322" s="20"/>
      <c r="BZ322" s="20"/>
      <c r="CA322" s="20"/>
      <c r="CB322" s="20"/>
      <c r="CC322" s="20"/>
      <c r="CD322" s="20"/>
      <c r="CE322" s="20"/>
      <c r="CF322" s="20"/>
      <c r="CG322" s="96"/>
      <c r="CH322" s="20"/>
      <c r="CI322" s="20"/>
      <c r="CJ322" s="20"/>
      <c r="CK322" s="20"/>
      <c r="CL322" s="20"/>
      <c r="CM322" s="20"/>
      <c r="CN322" s="11"/>
      <c r="CO322" s="20"/>
      <c r="CP322" s="20"/>
      <c r="CQ322" s="20"/>
      <c r="CR322" s="20"/>
      <c r="CS322" s="20"/>
      <c r="CT322" s="20"/>
      <c r="CU322" s="20"/>
      <c r="CV322" s="20"/>
      <c r="CW322" s="20"/>
      <c r="CX322" s="96"/>
      <c r="CY322" s="112"/>
      <c r="CZ322" s="20"/>
      <c r="DA322" s="26"/>
      <c r="DB322" s="42"/>
      <c r="DC322" s="43"/>
      <c r="DD322" s="62"/>
      <c r="DE322" s="62"/>
      <c r="DF322" s="4"/>
      <c r="DG322" s="4"/>
      <c r="DH322" s="4"/>
      <c r="DI322" s="4"/>
      <c r="DJ322" s="62"/>
      <c r="DK322" s="62"/>
      <c r="DL322" s="209"/>
      <c r="DM322" s="62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</row>
    <row r="323" spans="1:137" x14ac:dyDescent="0.2">
      <c r="A323" s="102"/>
      <c r="B323" s="148"/>
      <c r="C323" s="19"/>
      <c r="D323" s="19"/>
      <c r="E323" s="82"/>
      <c r="F323" s="82"/>
      <c r="G323" s="9"/>
      <c r="H323" s="93"/>
      <c r="I323" s="47"/>
      <c r="J323" s="94"/>
      <c r="K323" s="20"/>
      <c r="L323" s="20"/>
      <c r="M323" s="20"/>
      <c r="N323" s="20"/>
      <c r="O323" s="20"/>
      <c r="P323" s="20"/>
      <c r="Q323" s="20"/>
      <c r="R323" s="20"/>
      <c r="S323" s="20"/>
      <c r="T323" s="96"/>
      <c r="U323" s="20"/>
      <c r="V323" s="20"/>
      <c r="W323" s="20"/>
      <c r="X323" s="96"/>
      <c r="Y323" s="96"/>
      <c r="Z323" s="96"/>
      <c r="AA323" s="96"/>
      <c r="AB323" s="96"/>
      <c r="AC323" s="96"/>
      <c r="AD323" s="96"/>
      <c r="AE323" s="110"/>
      <c r="AF323" s="112"/>
      <c r="AG323" s="11"/>
      <c r="AH323" s="20"/>
      <c r="AI323" s="20"/>
      <c r="AJ323" s="11"/>
      <c r="AK323" s="20"/>
      <c r="AL323" s="11"/>
      <c r="AM323" s="20"/>
      <c r="AN323" s="250"/>
      <c r="AO323" s="256"/>
      <c r="AP323" s="112"/>
      <c r="AQ323" s="20"/>
      <c r="AR323" s="112"/>
      <c r="AS323" s="20"/>
      <c r="AT323" s="112"/>
      <c r="AU323" s="20"/>
      <c r="AV323" s="20"/>
      <c r="AW323" s="20"/>
      <c r="AX323" s="20"/>
      <c r="AY323" s="11"/>
      <c r="AZ323" s="96"/>
      <c r="BA323" s="11"/>
      <c r="BB323" s="11"/>
      <c r="BC323" s="96"/>
      <c r="BD323" s="20"/>
      <c r="BE323" s="96"/>
      <c r="BF323" s="20"/>
      <c r="BG323" s="11"/>
      <c r="BH323" s="20"/>
      <c r="BI323" s="20"/>
      <c r="BJ323" s="20"/>
      <c r="BK323" s="20"/>
      <c r="BL323" s="11"/>
      <c r="BM323" s="11"/>
      <c r="BN323" s="112"/>
      <c r="BO323" s="20"/>
      <c r="BP323" s="20"/>
      <c r="BQ323" s="20"/>
      <c r="BR323" s="20"/>
      <c r="BS323" s="11"/>
      <c r="BT323" s="11"/>
      <c r="BU323" s="112"/>
      <c r="BV323" s="11"/>
      <c r="BW323" s="112"/>
      <c r="BX323" s="11"/>
      <c r="BY323" s="20"/>
      <c r="BZ323" s="20"/>
      <c r="CA323" s="20"/>
      <c r="CB323" s="20"/>
      <c r="CC323" s="20"/>
      <c r="CD323" s="20"/>
      <c r="CE323" s="20"/>
      <c r="CF323" s="20"/>
      <c r="CG323" s="96"/>
      <c r="CH323" s="20"/>
      <c r="CI323" s="20"/>
      <c r="CJ323" s="20"/>
      <c r="CK323" s="20"/>
      <c r="CL323" s="20"/>
      <c r="CM323" s="20"/>
      <c r="CN323" s="11"/>
      <c r="CO323" s="20"/>
      <c r="CP323" s="20"/>
      <c r="CQ323" s="20"/>
      <c r="CR323" s="20"/>
      <c r="CS323" s="20"/>
      <c r="CT323" s="20"/>
      <c r="CU323" s="20"/>
      <c r="CV323" s="20"/>
      <c r="CW323" s="20"/>
      <c r="CX323" s="96"/>
      <c r="CY323" s="112"/>
      <c r="CZ323" s="20"/>
      <c r="DA323" s="26"/>
      <c r="DB323" s="42"/>
      <c r="DC323" s="43"/>
      <c r="DD323" s="62"/>
      <c r="DE323" s="62"/>
      <c r="DF323" s="4"/>
      <c r="DG323" s="4"/>
      <c r="DH323" s="4"/>
      <c r="DI323" s="4"/>
      <c r="DJ323" s="62"/>
      <c r="DK323" s="62"/>
      <c r="DL323" s="209"/>
      <c r="DM323" s="62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</row>
    <row r="324" spans="1:137" x14ac:dyDescent="0.2">
      <c r="A324" s="102"/>
      <c r="B324" s="189"/>
      <c r="C324" s="19"/>
      <c r="D324" s="19"/>
      <c r="E324" s="82"/>
      <c r="F324" s="82"/>
      <c r="G324" s="9"/>
      <c r="H324" s="93"/>
      <c r="I324" s="47"/>
      <c r="J324" s="94"/>
      <c r="K324" s="112"/>
      <c r="L324" s="112"/>
      <c r="M324" s="112"/>
      <c r="N324" s="112"/>
      <c r="O324" s="112"/>
      <c r="P324" s="112"/>
      <c r="Q324" s="112"/>
      <c r="R324" s="112"/>
      <c r="S324" s="112"/>
      <c r="T324" s="96"/>
      <c r="U324" s="112"/>
      <c r="V324" s="112"/>
      <c r="W324" s="112"/>
      <c r="X324" s="96"/>
      <c r="Y324" s="96"/>
      <c r="Z324" s="96"/>
      <c r="AA324" s="96"/>
      <c r="AB324" s="96"/>
      <c r="AC324" s="96"/>
      <c r="AD324" s="96"/>
      <c r="AE324" s="110"/>
      <c r="AF324" s="110"/>
      <c r="AG324" s="112"/>
      <c r="AH324" s="96"/>
      <c r="AI324" s="112"/>
      <c r="AJ324" s="112"/>
      <c r="AK324" s="112"/>
      <c r="AL324" s="112"/>
      <c r="AM324" s="112"/>
      <c r="AN324" s="255"/>
      <c r="AO324" s="251"/>
      <c r="AP324" s="112"/>
      <c r="AQ324" s="112"/>
      <c r="AR324" s="112"/>
      <c r="AS324" s="112"/>
      <c r="AT324" s="112"/>
      <c r="AU324" s="112"/>
      <c r="AV324" s="112"/>
      <c r="AW324" s="112"/>
      <c r="AX324" s="112"/>
      <c r="AY324" s="112"/>
      <c r="AZ324" s="96"/>
      <c r="BA324" s="11"/>
      <c r="BB324" s="11"/>
      <c r="BC324" s="11"/>
      <c r="BD324" s="112"/>
      <c r="BE324" s="11"/>
      <c r="BF324" s="112"/>
      <c r="BG324" s="112"/>
      <c r="BH324" s="112"/>
      <c r="BI324" s="112"/>
      <c r="BJ324" s="112"/>
      <c r="BK324" s="112"/>
      <c r="BL324" s="96"/>
      <c r="BM324" s="96"/>
      <c r="BN324" s="112"/>
      <c r="BO324" s="112"/>
      <c r="BP324" s="112"/>
      <c r="BQ324" s="112"/>
      <c r="BR324" s="112"/>
      <c r="BS324" s="96"/>
      <c r="BT324" s="96"/>
      <c r="BU324" s="112"/>
      <c r="BV324" s="11"/>
      <c r="BW324" s="112"/>
      <c r="BX324" s="96"/>
      <c r="BY324" s="112"/>
      <c r="BZ324" s="112"/>
      <c r="CA324" s="112"/>
      <c r="CB324" s="112"/>
      <c r="CC324" s="112"/>
      <c r="CD324" s="112"/>
      <c r="CE324" s="112"/>
      <c r="CF324" s="112"/>
      <c r="CG324" s="96"/>
      <c r="CH324" s="112"/>
      <c r="CI324" s="112"/>
      <c r="CJ324" s="112"/>
      <c r="CK324" s="112"/>
      <c r="CL324" s="112"/>
      <c r="CM324" s="112"/>
      <c r="CN324" s="96"/>
      <c r="CO324" s="112"/>
      <c r="CP324" s="112"/>
      <c r="CQ324" s="112"/>
      <c r="CR324" s="112"/>
      <c r="CS324" s="112"/>
      <c r="CT324" s="112"/>
      <c r="CU324" s="112"/>
      <c r="CV324" s="112"/>
      <c r="CW324" s="112"/>
      <c r="CX324" s="96"/>
      <c r="CY324" s="112"/>
      <c r="CZ324" s="112"/>
      <c r="DA324" s="26"/>
      <c r="DB324" s="42"/>
      <c r="DC324" s="43"/>
      <c r="DD324" s="62"/>
      <c r="DE324" s="62"/>
      <c r="DF324" s="4"/>
      <c r="DG324" s="4"/>
      <c r="DH324" s="4"/>
      <c r="DI324" s="4"/>
      <c r="DJ324" s="62"/>
      <c r="DK324" s="62"/>
      <c r="DL324" s="209"/>
      <c r="DM324" s="62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</row>
    <row r="325" spans="1:137" x14ac:dyDescent="0.2">
      <c r="A325" s="102"/>
      <c r="B325" s="148"/>
      <c r="C325" s="19"/>
      <c r="D325" s="19"/>
      <c r="E325" s="82"/>
      <c r="F325" s="82"/>
      <c r="G325" s="9"/>
      <c r="H325" s="93"/>
      <c r="I325" s="47"/>
      <c r="J325" s="11"/>
      <c r="K325" s="20"/>
      <c r="L325" s="20"/>
      <c r="M325" s="20"/>
      <c r="N325" s="20"/>
      <c r="O325" s="20"/>
      <c r="P325" s="20"/>
      <c r="Q325" s="20"/>
      <c r="R325" s="20"/>
      <c r="S325" s="20"/>
      <c r="T325" s="96"/>
      <c r="U325" s="20"/>
      <c r="V325" s="20"/>
      <c r="W325" s="20"/>
      <c r="X325" s="96"/>
      <c r="Y325" s="96"/>
      <c r="Z325" s="96"/>
      <c r="AA325" s="96"/>
      <c r="AB325" s="96"/>
      <c r="AC325" s="96"/>
      <c r="AD325" s="96"/>
      <c r="AE325" s="110"/>
      <c r="AF325" s="110"/>
      <c r="AG325" s="20"/>
      <c r="AH325" s="11"/>
      <c r="AI325" s="20"/>
      <c r="AJ325" s="20"/>
      <c r="AK325" s="20"/>
      <c r="AL325" s="20"/>
      <c r="AM325" s="20"/>
      <c r="AN325" s="254"/>
      <c r="AO325" s="251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96"/>
      <c r="BA325" s="11"/>
      <c r="BB325" s="11"/>
      <c r="BC325" s="96"/>
      <c r="BD325" s="20"/>
      <c r="BE325" s="96"/>
      <c r="BF325" s="20"/>
      <c r="BG325" s="20"/>
      <c r="BH325" s="20"/>
      <c r="BI325" s="20"/>
      <c r="BJ325" s="20"/>
      <c r="BK325" s="20"/>
      <c r="BL325" s="11"/>
      <c r="BM325" s="11"/>
      <c r="BN325" s="112"/>
      <c r="BO325" s="20"/>
      <c r="BP325" s="20"/>
      <c r="BQ325" s="20"/>
      <c r="BR325" s="20"/>
      <c r="BS325" s="11"/>
      <c r="BT325" s="11"/>
      <c r="BU325" s="112"/>
      <c r="BV325" s="11"/>
      <c r="BW325" s="112"/>
      <c r="BX325" s="11"/>
      <c r="BY325" s="11"/>
      <c r="BZ325" s="20"/>
      <c r="CA325" s="20"/>
      <c r="CB325" s="20"/>
      <c r="CC325" s="20"/>
      <c r="CD325" s="20"/>
      <c r="CE325" s="20"/>
      <c r="CF325" s="20"/>
      <c r="CG325" s="96"/>
      <c r="CH325" s="20"/>
      <c r="CI325" s="20"/>
      <c r="CJ325" s="20"/>
      <c r="CK325" s="20"/>
      <c r="CL325" s="20"/>
      <c r="CM325" s="20"/>
      <c r="CN325" s="11"/>
      <c r="CO325" s="20"/>
      <c r="CP325" s="20"/>
      <c r="CQ325" s="20"/>
      <c r="CR325" s="20"/>
      <c r="CS325" s="20"/>
      <c r="CT325" s="20"/>
      <c r="CU325" s="20"/>
      <c r="CV325" s="20"/>
      <c r="CW325" s="20"/>
      <c r="CX325" s="96"/>
      <c r="CY325" s="112"/>
      <c r="CZ325" s="20"/>
      <c r="DA325" s="26"/>
      <c r="DB325" s="53"/>
      <c r="DC325" s="68"/>
      <c r="DD325" s="62"/>
      <c r="DE325" s="209"/>
      <c r="DF325" s="115"/>
      <c r="DG325" s="4"/>
      <c r="DH325" s="115"/>
      <c r="DI325" s="115"/>
      <c r="DJ325" s="62"/>
      <c r="DK325" s="62"/>
      <c r="DL325" s="209"/>
      <c r="DM325" s="62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</row>
    <row r="326" spans="1:137" x14ac:dyDescent="0.2">
      <c r="A326" s="102"/>
      <c r="B326" s="148"/>
      <c r="C326" s="19"/>
      <c r="D326" s="19"/>
      <c r="E326" s="82"/>
      <c r="F326" s="82"/>
      <c r="G326" s="9"/>
      <c r="H326" s="93"/>
      <c r="I326" s="47"/>
      <c r="J326" s="11"/>
      <c r="K326" s="20"/>
      <c r="L326" s="20"/>
      <c r="M326" s="20"/>
      <c r="N326" s="20"/>
      <c r="O326" s="20"/>
      <c r="P326" s="20"/>
      <c r="Q326" s="20"/>
      <c r="R326" s="20"/>
      <c r="S326" s="20"/>
      <c r="T326" s="96"/>
      <c r="U326" s="20"/>
      <c r="V326" s="20"/>
      <c r="W326" s="20"/>
      <c r="X326" s="96"/>
      <c r="Y326" s="96"/>
      <c r="Z326" s="96"/>
      <c r="AA326" s="96"/>
      <c r="AB326" s="96"/>
      <c r="AC326" s="96"/>
      <c r="AD326" s="96"/>
      <c r="AE326" s="110"/>
      <c r="AF326" s="110"/>
      <c r="AG326" s="20"/>
      <c r="AH326" s="11"/>
      <c r="AI326" s="20"/>
      <c r="AJ326" s="20"/>
      <c r="AK326" s="20"/>
      <c r="AL326" s="20"/>
      <c r="AM326" s="20"/>
      <c r="AN326" s="254"/>
      <c r="AO326" s="251"/>
      <c r="AP326" s="112"/>
      <c r="AQ326" s="20"/>
      <c r="AR326" s="112"/>
      <c r="AS326" s="20"/>
      <c r="AT326" s="112"/>
      <c r="AU326" s="20"/>
      <c r="AV326" s="20"/>
      <c r="AW326" s="112"/>
      <c r="AX326" s="20"/>
      <c r="AY326" s="20"/>
      <c r="AZ326" s="96"/>
      <c r="BA326" s="11"/>
      <c r="BB326" s="11"/>
      <c r="BC326" s="96"/>
      <c r="BD326" s="20"/>
      <c r="BE326" s="96"/>
      <c r="BF326" s="20"/>
      <c r="BG326" s="20"/>
      <c r="BH326" s="20"/>
      <c r="BI326" s="20"/>
      <c r="BJ326" s="20"/>
      <c r="BK326" s="20"/>
      <c r="BL326" s="11"/>
      <c r="BM326" s="11"/>
      <c r="BN326" s="112"/>
      <c r="BO326" s="20"/>
      <c r="BP326" s="20"/>
      <c r="BQ326" s="20"/>
      <c r="BR326" s="20"/>
      <c r="BS326" s="11"/>
      <c r="BT326" s="11"/>
      <c r="BU326" s="112"/>
      <c r="BV326" s="11"/>
      <c r="BW326" s="112"/>
      <c r="BX326" s="11"/>
      <c r="BY326" s="20"/>
      <c r="BZ326" s="20"/>
      <c r="CA326" s="20"/>
      <c r="CB326" s="20"/>
      <c r="CC326" s="20"/>
      <c r="CD326" s="20"/>
      <c r="CE326" s="20"/>
      <c r="CF326" s="20"/>
      <c r="CG326" s="96"/>
      <c r="CH326" s="20"/>
      <c r="CI326" s="20"/>
      <c r="CJ326" s="20"/>
      <c r="CK326" s="20"/>
      <c r="CL326" s="20"/>
      <c r="CM326" s="20"/>
      <c r="CN326" s="11"/>
      <c r="CO326" s="20"/>
      <c r="CP326" s="20"/>
      <c r="CQ326" s="20"/>
      <c r="CR326" s="20"/>
      <c r="CS326" s="20"/>
      <c r="CT326" s="20"/>
      <c r="CU326" s="20"/>
      <c r="CV326" s="20"/>
      <c r="CW326" s="20"/>
      <c r="CX326" s="96"/>
      <c r="CY326" s="112"/>
      <c r="CZ326" s="20"/>
      <c r="DA326" s="26"/>
      <c r="DB326" s="53"/>
      <c r="DC326" s="68"/>
      <c r="DD326" s="62"/>
      <c r="DE326" s="209"/>
      <c r="DF326" s="115"/>
      <c r="DG326" s="115"/>
      <c r="DH326" s="115"/>
      <c r="DI326" s="115"/>
      <c r="DJ326" s="62"/>
      <c r="DK326" s="209"/>
      <c r="DL326" s="209"/>
      <c r="DM326" s="209"/>
      <c r="DN326" s="54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</row>
    <row r="327" spans="1:137" x14ac:dyDescent="0.2">
      <c r="A327" s="102"/>
      <c r="B327" s="148"/>
      <c r="C327" s="19"/>
      <c r="D327" s="19"/>
      <c r="E327" s="82"/>
      <c r="F327" s="82"/>
      <c r="G327" s="9"/>
      <c r="H327" s="93"/>
      <c r="I327" s="47"/>
      <c r="J327" s="11"/>
      <c r="K327" s="20"/>
      <c r="L327" s="20"/>
      <c r="M327" s="20"/>
      <c r="N327" s="20"/>
      <c r="O327" s="11"/>
      <c r="P327" s="11"/>
      <c r="Q327" s="11"/>
      <c r="R327" s="20"/>
      <c r="S327" s="11"/>
      <c r="T327" s="96"/>
      <c r="U327" s="20"/>
      <c r="V327" s="20"/>
      <c r="W327" s="20"/>
      <c r="X327" s="96"/>
      <c r="Y327" s="96"/>
      <c r="Z327" s="96"/>
      <c r="AA327" s="96"/>
      <c r="AB327" s="96"/>
      <c r="AC327" s="96"/>
      <c r="AD327" s="96"/>
      <c r="AE327" s="110"/>
      <c r="AF327" s="110"/>
      <c r="AG327" s="20"/>
      <c r="AH327" s="11"/>
      <c r="AI327" s="20"/>
      <c r="AJ327" s="20"/>
      <c r="AK327" s="20"/>
      <c r="AL327" s="20"/>
      <c r="AM327" s="20"/>
      <c r="AN327" s="254"/>
      <c r="AO327" s="251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96"/>
      <c r="BA327" s="11"/>
      <c r="BB327" s="11"/>
      <c r="BC327" s="96"/>
      <c r="BD327" s="20"/>
      <c r="BE327" s="96"/>
      <c r="BF327" s="20"/>
      <c r="BG327" s="20"/>
      <c r="BH327" s="20"/>
      <c r="BI327" s="20"/>
      <c r="BJ327" s="20"/>
      <c r="BK327" s="20"/>
      <c r="BL327" s="11"/>
      <c r="BM327" s="11"/>
      <c r="BN327" s="112"/>
      <c r="BO327" s="20"/>
      <c r="BP327" s="20"/>
      <c r="BQ327" s="20"/>
      <c r="BR327" s="20"/>
      <c r="BS327" s="11"/>
      <c r="BT327" s="11"/>
      <c r="BU327" s="112"/>
      <c r="BV327" s="11"/>
      <c r="BW327" s="112"/>
      <c r="BX327" s="11"/>
      <c r="BY327" s="20"/>
      <c r="BZ327" s="20"/>
      <c r="CA327" s="20"/>
      <c r="CB327" s="20"/>
      <c r="CC327" s="20"/>
      <c r="CD327" s="20"/>
      <c r="CE327" s="20"/>
      <c r="CF327" s="20"/>
      <c r="CG327" s="96"/>
      <c r="CH327" s="20"/>
      <c r="CI327" s="20"/>
      <c r="CJ327" s="20"/>
      <c r="CK327" s="20"/>
      <c r="CL327" s="20"/>
      <c r="CM327" s="20"/>
      <c r="CN327" s="11"/>
      <c r="CO327" s="20"/>
      <c r="CP327" s="20"/>
      <c r="CQ327" s="20"/>
      <c r="CR327" s="20"/>
      <c r="CS327" s="20"/>
      <c r="CT327" s="20"/>
      <c r="CU327" s="20"/>
      <c r="CV327" s="20"/>
      <c r="CW327" s="20"/>
      <c r="CX327" s="96"/>
      <c r="CY327" s="112"/>
      <c r="CZ327" s="20"/>
      <c r="DA327" s="26"/>
      <c r="DB327" s="53"/>
      <c r="DC327" s="68"/>
      <c r="DD327" s="62"/>
      <c r="DE327" s="209"/>
      <c r="DF327" s="115"/>
      <c r="DG327" s="4"/>
      <c r="DH327" s="115"/>
      <c r="DI327" s="115"/>
      <c r="DJ327" s="62"/>
      <c r="DK327" s="62"/>
      <c r="DL327" s="209"/>
      <c r="DM327" s="62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</row>
    <row r="328" spans="1:137" x14ac:dyDescent="0.2">
      <c r="A328" s="102"/>
      <c r="B328" s="148"/>
      <c r="C328" s="19"/>
      <c r="D328" s="19"/>
      <c r="E328" s="82"/>
      <c r="F328" s="82"/>
      <c r="G328" s="9"/>
      <c r="H328" s="93"/>
      <c r="I328" s="47"/>
      <c r="J328" s="11"/>
      <c r="K328" s="20"/>
      <c r="L328" s="20"/>
      <c r="M328" s="20"/>
      <c r="N328" s="20"/>
      <c r="O328" s="20"/>
      <c r="P328" s="20"/>
      <c r="Q328" s="20"/>
      <c r="R328" s="20"/>
      <c r="S328" s="20"/>
      <c r="T328" s="96"/>
      <c r="U328" s="20"/>
      <c r="V328" s="11"/>
      <c r="W328" s="11"/>
      <c r="X328" s="96"/>
      <c r="Y328" s="96"/>
      <c r="Z328" s="96"/>
      <c r="AA328" s="96"/>
      <c r="AB328" s="96"/>
      <c r="AC328" s="96"/>
      <c r="AD328" s="96"/>
      <c r="AE328" s="110"/>
      <c r="AF328" s="110"/>
      <c r="AG328" s="20"/>
      <c r="AH328" s="11"/>
      <c r="AI328" s="20"/>
      <c r="AJ328" s="20"/>
      <c r="AK328" s="20"/>
      <c r="AL328" s="20"/>
      <c r="AM328" s="20"/>
      <c r="AN328" s="254"/>
      <c r="AO328" s="251"/>
      <c r="AP328" s="20"/>
      <c r="AQ328" s="20"/>
      <c r="AR328" s="20"/>
      <c r="AS328" s="20"/>
      <c r="AT328" s="20"/>
      <c r="AU328" s="20"/>
      <c r="AV328" s="112"/>
      <c r="AW328" s="20"/>
      <c r="AX328" s="20"/>
      <c r="AY328" s="20"/>
      <c r="AZ328" s="96"/>
      <c r="BA328" s="11"/>
      <c r="BB328" s="11"/>
      <c r="BC328" s="96"/>
      <c r="BD328" s="20"/>
      <c r="BE328" s="96"/>
      <c r="BF328" s="20"/>
      <c r="BG328" s="20"/>
      <c r="BH328" s="20"/>
      <c r="BI328" s="20"/>
      <c r="BJ328" s="20"/>
      <c r="BK328" s="20"/>
      <c r="BL328" s="11"/>
      <c r="BM328" s="11"/>
      <c r="BN328" s="112"/>
      <c r="BO328" s="20"/>
      <c r="BP328" s="20"/>
      <c r="BQ328" s="20"/>
      <c r="BR328" s="20"/>
      <c r="BS328" s="11"/>
      <c r="BT328" s="11"/>
      <c r="BU328" s="112"/>
      <c r="BV328" s="11"/>
      <c r="BW328" s="112"/>
      <c r="BX328" s="11"/>
      <c r="BY328" s="20"/>
      <c r="BZ328" s="20"/>
      <c r="CA328" s="20"/>
      <c r="CB328" s="20"/>
      <c r="CC328" s="20"/>
      <c r="CD328" s="20"/>
      <c r="CE328" s="20"/>
      <c r="CF328" s="20"/>
      <c r="CG328" s="96"/>
      <c r="CH328" s="20"/>
      <c r="CI328" s="20"/>
      <c r="CJ328" s="20"/>
      <c r="CK328" s="20"/>
      <c r="CL328" s="20"/>
      <c r="CM328" s="20"/>
      <c r="CN328" s="11"/>
      <c r="CO328" s="20"/>
      <c r="CP328" s="20"/>
      <c r="CQ328" s="20"/>
      <c r="CR328" s="20"/>
      <c r="CS328" s="20"/>
      <c r="CT328" s="20"/>
      <c r="CU328" s="20"/>
      <c r="CV328" s="20"/>
      <c r="CW328" s="20"/>
      <c r="CX328" s="96"/>
      <c r="CY328" s="112"/>
      <c r="CZ328" s="20"/>
      <c r="DA328" s="26"/>
      <c r="DB328" s="42"/>
      <c r="DC328" s="43"/>
      <c r="DD328" s="62"/>
      <c r="DE328" s="62"/>
      <c r="DF328" s="4"/>
      <c r="DG328" s="4"/>
      <c r="DH328" s="4"/>
      <c r="DI328" s="4"/>
      <c r="DJ328" s="62"/>
      <c r="DK328" s="62"/>
      <c r="DL328" s="209"/>
      <c r="DM328" s="62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</row>
    <row r="329" spans="1:137" x14ac:dyDescent="0.2">
      <c r="A329" s="102"/>
      <c r="B329" s="189"/>
      <c r="C329" s="19"/>
      <c r="D329" s="19"/>
      <c r="E329" s="82"/>
      <c r="F329" s="82"/>
      <c r="G329" s="9"/>
      <c r="H329" s="93"/>
      <c r="I329" s="47"/>
      <c r="J329" s="11"/>
      <c r="K329" s="112"/>
      <c r="L329" s="112"/>
      <c r="M329" s="112"/>
      <c r="N329" s="112"/>
      <c r="O329" s="112"/>
      <c r="P329" s="112"/>
      <c r="Q329" s="112"/>
      <c r="R329" s="112"/>
      <c r="S329" s="112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110"/>
      <c r="AF329" s="110"/>
      <c r="AG329" s="112"/>
      <c r="AH329" s="96"/>
      <c r="AI329" s="112"/>
      <c r="AJ329" s="112"/>
      <c r="AK329" s="112"/>
      <c r="AL329" s="112"/>
      <c r="AM329" s="112"/>
      <c r="AN329" s="255"/>
      <c r="AO329" s="251"/>
      <c r="AP329" s="112"/>
      <c r="AQ329" s="112"/>
      <c r="AR329" s="112"/>
      <c r="AS329" s="112"/>
      <c r="AT329" s="112"/>
      <c r="AU329" s="112"/>
      <c r="AV329" s="112"/>
      <c r="AW329" s="112"/>
      <c r="AX329" s="112"/>
      <c r="AY329" s="112"/>
      <c r="AZ329" s="96"/>
      <c r="BA329" s="11"/>
      <c r="BB329" s="11"/>
      <c r="BC329" s="96"/>
      <c r="BD329" s="112"/>
      <c r="BE329" s="96"/>
      <c r="BF329" s="112"/>
      <c r="BG329" s="112"/>
      <c r="BH329" s="112"/>
      <c r="BI329" s="112"/>
      <c r="BJ329" s="112"/>
      <c r="BK329" s="112"/>
      <c r="BL329" s="96"/>
      <c r="BM329" s="96"/>
      <c r="BN329" s="112"/>
      <c r="BO329" s="112"/>
      <c r="BP329" s="112"/>
      <c r="BQ329" s="112"/>
      <c r="BR329" s="112"/>
      <c r="BS329" s="96"/>
      <c r="BT329" s="96"/>
      <c r="BU329" s="112"/>
      <c r="BV329" s="112"/>
      <c r="BW329" s="112"/>
      <c r="BX329" s="96"/>
      <c r="BY329" s="112"/>
      <c r="BZ329" s="112"/>
      <c r="CA329" s="112"/>
      <c r="CB329" s="112"/>
      <c r="CC329" s="112"/>
      <c r="CD329" s="112"/>
      <c r="CE329" s="112"/>
      <c r="CF329" s="112"/>
      <c r="CG329" s="96"/>
      <c r="CH329" s="112"/>
      <c r="CI329" s="112"/>
      <c r="CJ329" s="112"/>
      <c r="CK329" s="112"/>
      <c r="CL329" s="112"/>
      <c r="CM329" s="112"/>
      <c r="CN329" s="96"/>
      <c r="CO329" s="112"/>
      <c r="CP329" s="112"/>
      <c r="CQ329" s="112"/>
      <c r="CR329" s="112"/>
      <c r="CS329" s="112"/>
      <c r="CT329" s="112"/>
      <c r="CU329" s="112"/>
      <c r="CV329" s="112"/>
      <c r="CW329" s="112"/>
      <c r="CX329" s="96"/>
      <c r="CY329" s="112"/>
      <c r="CZ329" s="112"/>
      <c r="DA329" s="26"/>
      <c r="DB329" s="42"/>
      <c r="DC329" s="43"/>
      <c r="DD329" s="62"/>
      <c r="DE329" s="62"/>
      <c r="DF329" s="4"/>
      <c r="DG329" s="4"/>
      <c r="DH329" s="4"/>
      <c r="DI329" s="4"/>
      <c r="DJ329" s="62"/>
      <c r="DK329" s="62"/>
      <c r="DL329" s="209"/>
      <c r="DM329" s="62"/>
      <c r="DN329" s="13"/>
      <c r="DO329" s="13"/>
      <c r="DP329" s="53"/>
      <c r="DQ329" s="43"/>
      <c r="DR329" s="43">
        <f>COUNTIF($DR$4:$DR$77,"NY")</f>
        <v>0</v>
      </c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</row>
    <row r="330" spans="1:137" x14ac:dyDescent="0.2">
      <c r="A330" s="102"/>
      <c r="B330" s="189"/>
      <c r="C330" s="19"/>
      <c r="D330" s="19"/>
      <c r="E330" s="82"/>
      <c r="F330" s="82"/>
      <c r="G330" s="9"/>
      <c r="H330" s="93"/>
      <c r="I330" s="47"/>
      <c r="J330" s="94"/>
      <c r="K330" s="112"/>
      <c r="L330" s="112"/>
      <c r="M330" s="112"/>
      <c r="N330" s="112"/>
      <c r="O330" s="112"/>
      <c r="P330" s="112"/>
      <c r="Q330" s="112"/>
      <c r="R330" s="112"/>
      <c r="S330" s="112"/>
      <c r="T330" s="96"/>
      <c r="U330" s="112"/>
      <c r="V330" s="96"/>
      <c r="W330" s="96"/>
      <c r="X330" s="96"/>
      <c r="Y330" s="96"/>
      <c r="Z330" s="96"/>
      <c r="AA330" s="96"/>
      <c r="AB330" s="96"/>
      <c r="AC330" s="96"/>
      <c r="AD330" s="96"/>
      <c r="AE330" s="110"/>
      <c r="AF330" s="110"/>
      <c r="AG330" s="112"/>
      <c r="AH330" s="96"/>
      <c r="AI330" s="112"/>
      <c r="AJ330" s="112"/>
      <c r="AK330" s="112"/>
      <c r="AL330" s="112"/>
      <c r="AM330" s="112"/>
      <c r="AN330" s="255"/>
      <c r="AO330" s="251"/>
      <c r="AP330" s="112"/>
      <c r="AQ330" s="112"/>
      <c r="AR330" s="112"/>
      <c r="AS330" s="112"/>
      <c r="AT330" s="112"/>
      <c r="AU330" s="112"/>
      <c r="AV330" s="112"/>
      <c r="AW330" s="112"/>
      <c r="AX330" s="112"/>
      <c r="AY330" s="112"/>
      <c r="AZ330" s="96"/>
      <c r="BA330" s="11"/>
      <c r="BB330" s="11"/>
      <c r="BC330" s="96"/>
      <c r="BD330" s="112"/>
      <c r="BE330" s="96"/>
      <c r="BF330" s="112"/>
      <c r="BG330" s="112"/>
      <c r="BH330" s="112"/>
      <c r="BI330" s="112"/>
      <c r="BJ330" s="112"/>
      <c r="BK330" s="20"/>
      <c r="BL330" s="96"/>
      <c r="BM330" s="96"/>
      <c r="BN330" s="112"/>
      <c r="BO330" s="112"/>
      <c r="BP330" s="112"/>
      <c r="BQ330" s="112"/>
      <c r="BR330" s="112"/>
      <c r="BS330" s="96"/>
      <c r="BT330" s="96"/>
      <c r="BU330" s="112"/>
      <c r="BV330" s="112"/>
      <c r="BW330" s="112"/>
      <c r="BX330" s="96"/>
      <c r="BY330" s="112"/>
      <c r="BZ330" s="112"/>
      <c r="CA330" s="112"/>
      <c r="CB330" s="112"/>
      <c r="CC330" s="112"/>
      <c r="CD330" s="112"/>
      <c r="CE330" s="112"/>
      <c r="CF330" s="112"/>
      <c r="CG330" s="96"/>
      <c r="CH330" s="112"/>
      <c r="CI330" s="112"/>
      <c r="CJ330" s="112"/>
      <c r="CK330" s="112"/>
      <c r="CL330" s="112"/>
      <c r="CM330" s="112"/>
      <c r="CN330" s="96"/>
      <c r="CO330" s="112"/>
      <c r="CP330" s="112"/>
      <c r="CQ330" s="112"/>
      <c r="CR330" s="112"/>
      <c r="CS330" s="112"/>
      <c r="CT330" s="112"/>
      <c r="CU330" s="20"/>
      <c r="CV330" s="20"/>
      <c r="CW330" s="20"/>
      <c r="CX330" s="96"/>
      <c r="CY330" s="112"/>
      <c r="CZ330" s="112"/>
      <c r="DA330" s="26"/>
      <c r="DB330" s="42"/>
      <c r="DC330" s="43"/>
      <c r="DD330" s="62"/>
      <c r="DE330" s="62"/>
      <c r="DF330" s="4"/>
      <c r="DG330" s="4"/>
      <c r="DH330" s="4"/>
      <c r="DI330" s="4"/>
      <c r="DJ330" s="62"/>
      <c r="DK330" s="62"/>
      <c r="DL330" s="209"/>
      <c r="DM330" s="62"/>
      <c r="DN330" s="13"/>
      <c r="DO330" s="13"/>
      <c r="DP330" s="53"/>
      <c r="DQ330" s="43"/>
      <c r="DR330" s="4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</row>
    <row r="331" spans="1:137" x14ac:dyDescent="0.2">
      <c r="A331" s="102"/>
      <c r="B331" s="200"/>
      <c r="C331" s="19"/>
      <c r="D331" s="19"/>
      <c r="E331" s="82"/>
      <c r="F331" s="82"/>
      <c r="G331" s="9"/>
      <c r="H331" s="93"/>
      <c r="I331" s="47"/>
      <c r="J331" s="94"/>
      <c r="K331" s="112"/>
      <c r="L331" s="112"/>
      <c r="M331" s="112"/>
      <c r="N331" s="112"/>
      <c r="O331" s="112"/>
      <c r="P331" s="112"/>
      <c r="Q331" s="112"/>
      <c r="R331" s="112"/>
      <c r="S331" s="112"/>
      <c r="T331" s="96"/>
      <c r="U331" s="112"/>
      <c r="V331" s="96"/>
      <c r="W331" s="96"/>
      <c r="X331" s="96"/>
      <c r="Y331" s="96"/>
      <c r="Z331" s="96"/>
      <c r="AA331" s="96"/>
      <c r="AB331" s="96"/>
      <c r="AC331" s="96"/>
      <c r="AD331" s="96"/>
      <c r="AE331" s="110"/>
      <c r="AF331" s="110"/>
      <c r="AG331" s="112"/>
      <c r="AH331" s="96"/>
      <c r="AI331" s="112"/>
      <c r="AJ331" s="112"/>
      <c r="AK331" s="112"/>
      <c r="AL331" s="112"/>
      <c r="AM331" s="112"/>
      <c r="AN331" s="255"/>
      <c r="AO331" s="251"/>
      <c r="AP331" s="112"/>
      <c r="AQ331" s="112"/>
      <c r="AR331" s="112"/>
      <c r="AS331" s="112"/>
      <c r="AT331" s="112"/>
      <c r="AU331" s="112"/>
      <c r="AV331" s="112"/>
      <c r="AW331" s="112"/>
      <c r="AX331" s="112"/>
      <c r="AY331" s="112"/>
      <c r="AZ331" s="96"/>
      <c r="BA331" s="11"/>
      <c r="BB331" s="11"/>
      <c r="BC331" s="96"/>
      <c r="BD331" s="112"/>
      <c r="BE331" s="96"/>
      <c r="BF331" s="112"/>
      <c r="BG331" s="112"/>
      <c r="BH331" s="112"/>
      <c r="BI331" s="112"/>
      <c r="BJ331" s="112"/>
      <c r="BK331" s="112"/>
      <c r="BL331" s="96"/>
      <c r="BM331" s="96"/>
      <c r="BN331" s="112"/>
      <c r="BO331" s="112"/>
      <c r="BP331" s="112"/>
      <c r="BQ331" s="112"/>
      <c r="BR331" s="112"/>
      <c r="BS331" s="96"/>
      <c r="BT331" s="96"/>
      <c r="BU331" s="112"/>
      <c r="BV331" s="112"/>
      <c r="BW331" s="112"/>
      <c r="BX331" s="96"/>
      <c r="BY331" s="112"/>
      <c r="BZ331" s="112"/>
      <c r="CA331" s="112"/>
      <c r="CB331" s="112"/>
      <c r="CC331" s="112"/>
      <c r="CD331" s="112"/>
      <c r="CE331" s="112"/>
      <c r="CF331" s="112"/>
      <c r="CG331" s="96"/>
      <c r="CH331" s="112"/>
      <c r="CI331" s="112"/>
      <c r="CJ331" s="112"/>
      <c r="CK331" s="112"/>
      <c r="CL331" s="112"/>
      <c r="CM331" s="112"/>
      <c r="CN331" s="96"/>
      <c r="CO331" s="112"/>
      <c r="CP331" s="112"/>
      <c r="CQ331" s="112"/>
      <c r="CR331" s="112"/>
      <c r="CS331" s="112"/>
      <c r="CT331" s="112"/>
      <c r="CU331" s="112"/>
      <c r="CV331" s="112"/>
      <c r="CW331" s="112"/>
      <c r="CX331" s="96"/>
      <c r="CY331" s="112"/>
      <c r="CZ331" s="112"/>
      <c r="DA331" s="26"/>
      <c r="DB331" s="42"/>
      <c r="DC331" s="43"/>
      <c r="DD331" s="62"/>
      <c r="DE331" s="62"/>
      <c r="DF331" s="4"/>
      <c r="DG331" s="4"/>
      <c r="DH331" s="4"/>
      <c r="DI331" s="4"/>
      <c r="DJ331" s="62"/>
      <c r="DK331" s="62"/>
      <c r="DL331" s="209"/>
      <c r="DM331" s="62"/>
      <c r="DN331" s="13"/>
      <c r="DO331" s="13"/>
      <c r="DP331" s="53"/>
      <c r="DQ331" s="43"/>
      <c r="DR331" s="4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</row>
    <row r="332" spans="1:137" x14ac:dyDescent="0.2">
      <c r="A332" s="102"/>
      <c r="B332" s="148"/>
      <c r="C332" s="19"/>
      <c r="D332" s="19"/>
      <c r="E332" s="82"/>
      <c r="F332" s="82"/>
      <c r="G332" s="9"/>
      <c r="H332" s="93"/>
      <c r="I332" s="47"/>
      <c r="J332" s="94"/>
      <c r="K332" s="20"/>
      <c r="L332" s="20"/>
      <c r="M332" s="20"/>
      <c r="N332" s="20"/>
      <c r="O332" s="20"/>
      <c r="P332" s="20"/>
      <c r="Q332" s="20"/>
      <c r="R332" s="20"/>
      <c r="S332" s="20"/>
      <c r="T332" s="96"/>
      <c r="U332" s="20"/>
      <c r="V332" s="11"/>
      <c r="W332" s="11"/>
      <c r="X332" s="96"/>
      <c r="Y332" s="96"/>
      <c r="Z332" s="96"/>
      <c r="AA332" s="96"/>
      <c r="AB332" s="96"/>
      <c r="AC332" s="96"/>
      <c r="AD332" s="96"/>
      <c r="AE332" s="110"/>
      <c r="AF332" s="110"/>
      <c r="AG332" s="20"/>
      <c r="AH332" s="11"/>
      <c r="AI332" s="20"/>
      <c r="AJ332" s="20"/>
      <c r="AK332" s="20"/>
      <c r="AL332" s="20"/>
      <c r="AM332" s="20"/>
      <c r="AN332" s="254"/>
      <c r="AO332" s="251"/>
      <c r="AP332" s="112"/>
      <c r="AQ332" s="20"/>
      <c r="AR332" s="112"/>
      <c r="AS332" s="20"/>
      <c r="AT332" s="112"/>
      <c r="AU332" s="20"/>
      <c r="AV332" s="20"/>
      <c r="AW332" s="20"/>
      <c r="AX332" s="20"/>
      <c r="AY332" s="20"/>
      <c r="AZ332" s="96"/>
      <c r="BA332" s="11"/>
      <c r="BB332" s="11"/>
      <c r="BC332" s="96"/>
      <c r="BD332" s="20"/>
      <c r="BE332" s="96"/>
      <c r="BF332" s="20"/>
      <c r="BG332" s="20"/>
      <c r="BH332" s="20"/>
      <c r="BI332" s="20"/>
      <c r="BJ332" s="20"/>
      <c r="BK332" s="20"/>
      <c r="BL332" s="11"/>
      <c r="BM332" s="11"/>
      <c r="BN332" s="112"/>
      <c r="BO332" s="20"/>
      <c r="BP332" s="20"/>
      <c r="BQ332" s="20"/>
      <c r="BR332" s="20"/>
      <c r="BS332" s="11"/>
      <c r="BT332" s="11"/>
      <c r="BU332" s="112"/>
      <c r="BV332" s="112"/>
      <c r="BW332" s="112"/>
      <c r="BX332" s="11"/>
      <c r="BY332" s="20"/>
      <c r="BZ332" s="20"/>
      <c r="CA332" s="20"/>
      <c r="CB332" s="20"/>
      <c r="CC332" s="20"/>
      <c r="CD332" s="20"/>
      <c r="CE332" s="20"/>
      <c r="CF332" s="20"/>
      <c r="CG332" s="96"/>
      <c r="CH332" s="20"/>
      <c r="CI332" s="20"/>
      <c r="CJ332" s="20"/>
      <c r="CK332" s="20"/>
      <c r="CL332" s="20"/>
      <c r="CM332" s="20"/>
      <c r="CN332" s="11"/>
      <c r="CO332" s="20"/>
      <c r="CP332" s="20"/>
      <c r="CQ332" s="20"/>
      <c r="CR332" s="20"/>
      <c r="CS332" s="20"/>
      <c r="CT332" s="20"/>
      <c r="CU332" s="20"/>
      <c r="CV332" s="20"/>
      <c r="CW332" s="20"/>
      <c r="CX332" s="96"/>
      <c r="CY332" s="112"/>
      <c r="CZ332" s="20"/>
      <c r="DA332" s="26"/>
      <c r="DB332" s="42"/>
      <c r="DC332" s="43"/>
      <c r="DD332" s="62"/>
      <c r="DE332" s="62"/>
      <c r="DF332" s="4"/>
      <c r="DG332" s="4"/>
      <c r="DH332" s="4"/>
      <c r="DI332" s="4"/>
      <c r="DJ332" s="62"/>
      <c r="DK332" s="62"/>
      <c r="DL332" s="209"/>
      <c r="DM332" s="62"/>
      <c r="DN332" s="13"/>
      <c r="DO332" s="13"/>
      <c r="DP332" s="53"/>
      <c r="DQ332" s="43"/>
      <c r="DR332" s="4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</row>
    <row r="333" spans="1:137" x14ac:dyDescent="0.2">
      <c r="A333" s="102"/>
      <c r="B333" s="148"/>
      <c r="C333" s="19"/>
      <c r="D333" s="19"/>
      <c r="E333" s="82"/>
      <c r="F333" s="82"/>
      <c r="G333" s="9"/>
      <c r="H333" s="93"/>
      <c r="I333" s="47"/>
      <c r="J333" s="94"/>
      <c r="K333" s="20"/>
      <c r="L333" s="20"/>
      <c r="M333" s="20"/>
      <c r="N333" s="20"/>
      <c r="O333" s="20"/>
      <c r="P333" s="20"/>
      <c r="Q333" s="20"/>
      <c r="R333" s="20"/>
      <c r="S333" s="20"/>
      <c r="T333" s="96"/>
      <c r="U333" s="20"/>
      <c r="V333" s="11"/>
      <c r="W333" s="11"/>
      <c r="X333" s="96"/>
      <c r="Y333" s="96"/>
      <c r="Z333" s="96"/>
      <c r="AA333" s="96"/>
      <c r="AB333" s="96"/>
      <c r="AC333" s="96"/>
      <c r="AD333" s="96"/>
      <c r="AE333" s="110"/>
      <c r="AF333" s="110"/>
      <c r="AG333" s="20"/>
      <c r="AH333" s="11"/>
      <c r="AI333" s="20"/>
      <c r="AJ333" s="20"/>
      <c r="AK333" s="20"/>
      <c r="AL333" s="20"/>
      <c r="AM333" s="20"/>
      <c r="AN333" s="254"/>
      <c r="AO333" s="251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96"/>
      <c r="BA333" s="11"/>
      <c r="BB333" s="11"/>
      <c r="BC333" s="96"/>
      <c r="BD333" s="20"/>
      <c r="BE333" s="96"/>
      <c r="BF333" s="20"/>
      <c r="BG333" s="20"/>
      <c r="BH333" s="20"/>
      <c r="BI333" s="20"/>
      <c r="BJ333" s="20"/>
      <c r="BK333" s="20"/>
      <c r="BL333" s="11"/>
      <c r="BM333" s="11"/>
      <c r="BN333" s="112"/>
      <c r="BO333" s="20"/>
      <c r="BP333" s="20"/>
      <c r="BQ333" s="20"/>
      <c r="BR333" s="20"/>
      <c r="BS333" s="11"/>
      <c r="BT333" s="11"/>
      <c r="BU333" s="112"/>
      <c r="BV333" s="112"/>
      <c r="BW333" s="112"/>
      <c r="BX333" s="11"/>
      <c r="BY333" s="20"/>
      <c r="BZ333" s="20"/>
      <c r="CA333" s="20"/>
      <c r="CB333" s="20"/>
      <c r="CC333" s="20"/>
      <c r="CD333" s="20"/>
      <c r="CE333" s="20"/>
      <c r="CF333" s="20"/>
      <c r="CG333" s="96"/>
      <c r="CH333" s="20"/>
      <c r="CI333" s="20"/>
      <c r="CJ333" s="20"/>
      <c r="CK333" s="20"/>
      <c r="CL333" s="20"/>
      <c r="CM333" s="20"/>
      <c r="CN333" s="11"/>
      <c r="CO333" s="20"/>
      <c r="CP333" s="20"/>
      <c r="CQ333" s="20"/>
      <c r="CR333" s="20"/>
      <c r="CS333" s="20"/>
      <c r="CT333" s="20"/>
      <c r="CU333" s="20"/>
      <c r="CV333" s="20"/>
      <c r="CW333" s="20"/>
      <c r="CX333" s="96"/>
      <c r="CY333" s="112"/>
      <c r="CZ333" s="20"/>
      <c r="DA333" s="26"/>
      <c r="DB333" s="42"/>
      <c r="DC333" s="43"/>
      <c r="DD333" s="62"/>
      <c r="DE333" s="62"/>
      <c r="DF333" s="4"/>
      <c r="DG333" s="4"/>
      <c r="DH333" s="4"/>
      <c r="DI333" s="4"/>
      <c r="DJ333" s="62"/>
      <c r="DK333" s="62"/>
      <c r="DL333" s="209"/>
      <c r="DM333" s="62"/>
      <c r="DN333" s="13"/>
      <c r="DO333" s="13"/>
      <c r="DP333" s="53"/>
      <c r="DQ333" s="43"/>
      <c r="DR333" s="4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</row>
    <row r="334" spans="1:137" x14ac:dyDescent="0.2">
      <c r="A334" s="102"/>
      <c r="B334" s="148"/>
      <c r="C334" s="19"/>
      <c r="D334" s="19"/>
      <c r="E334" s="82"/>
      <c r="F334" s="82"/>
      <c r="G334" s="9"/>
      <c r="H334" s="93"/>
      <c r="I334" s="47"/>
      <c r="J334" s="94"/>
      <c r="K334" s="20"/>
      <c r="L334" s="20"/>
      <c r="M334" s="20"/>
      <c r="N334" s="20"/>
      <c r="O334" s="20"/>
      <c r="P334" s="20"/>
      <c r="Q334" s="20"/>
      <c r="R334" s="20"/>
      <c r="S334" s="20"/>
      <c r="T334" s="96"/>
      <c r="U334" s="20"/>
      <c r="V334" s="11"/>
      <c r="W334" s="11"/>
      <c r="X334" s="96"/>
      <c r="Y334" s="96"/>
      <c r="Z334" s="96"/>
      <c r="AA334" s="96"/>
      <c r="AB334" s="96"/>
      <c r="AC334" s="96"/>
      <c r="AD334" s="96"/>
      <c r="AE334" s="110"/>
      <c r="AF334" s="110"/>
      <c r="AG334" s="20"/>
      <c r="AH334" s="11"/>
      <c r="AI334" s="20"/>
      <c r="AJ334" s="20"/>
      <c r="AK334" s="20"/>
      <c r="AL334" s="20"/>
      <c r="AM334" s="20"/>
      <c r="AN334" s="254"/>
      <c r="AO334" s="251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96"/>
      <c r="BA334" s="11"/>
      <c r="BB334" s="11"/>
      <c r="BC334" s="96"/>
      <c r="BD334" s="20"/>
      <c r="BE334" s="96"/>
      <c r="BF334" s="20"/>
      <c r="BG334" s="20"/>
      <c r="BH334" s="20"/>
      <c r="BI334" s="20"/>
      <c r="BJ334" s="20"/>
      <c r="BK334" s="20"/>
      <c r="BL334" s="11"/>
      <c r="BM334" s="11"/>
      <c r="BN334" s="112"/>
      <c r="BO334" s="20"/>
      <c r="BP334" s="20"/>
      <c r="BQ334" s="20"/>
      <c r="BR334" s="20"/>
      <c r="BS334" s="11"/>
      <c r="BT334" s="11"/>
      <c r="BU334" s="112"/>
      <c r="BV334" s="112"/>
      <c r="BW334" s="112"/>
      <c r="BX334" s="11"/>
      <c r="BY334" s="20"/>
      <c r="BZ334" s="20"/>
      <c r="CA334" s="20"/>
      <c r="CB334" s="20"/>
      <c r="CC334" s="20"/>
      <c r="CD334" s="20"/>
      <c r="CE334" s="20"/>
      <c r="CF334" s="20"/>
      <c r="CG334" s="96"/>
      <c r="CH334" s="20"/>
      <c r="CI334" s="20"/>
      <c r="CJ334" s="20"/>
      <c r="CK334" s="20"/>
      <c r="CL334" s="20"/>
      <c r="CM334" s="20"/>
      <c r="CN334" s="11"/>
      <c r="CO334" s="20"/>
      <c r="CP334" s="20"/>
      <c r="CQ334" s="20"/>
      <c r="CR334" s="20"/>
      <c r="CS334" s="20"/>
      <c r="CT334" s="20"/>
      <c r="CU334" s="20"/>
      <c r="CV334" s="20"/>
      <c r="CW334" s="20"/>
      <c r="CX334" s="96"/>
      <c r="CY334" s="112"/>
      <c r="CZ334" s="20"/>
      <c r="DA334" s="26"/>
      <c r="DB334" s="42"/>
      <c r="DC334" s="43"/>
      <c r="DD334" s="62"/>
      <c r="DE334" s="62"/>
      <c r="DF334" s="4"/>
      <c r="DG334" s="4"/>
      <c r="DH334" s="4"/>
      <c r="DI334" s="4"/>
      <c r="DJ334" s="62"/>
      <c r="DK334" s="62"/>
      <c r="DL334" s="209"/>
      <c r="DM334" s="62"/>
      <c r="DN334" s="13"/>
      <c r="DO334" s="13"/>
      <c r="DP334" s="53"/>
      <c r="DQ334" s="43"/>
      <c r="DR334" s="4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</row>
    <row r="335" spans="1:137" x14ac:dyDescent="0.2">
      <c r="A335" s="102"/>
      <c r="B335" s="148"/>
      <c r="C335" s="19"/>
      <c r="D335" s="19"/>
      <c r="E335" s="82"/>
      <c r="F335" s="82"/>
      <c r="G335" s="9"/>
      <c r="H335" s="93"/>
      <c r="I335" s="47"/>
      <c r="J335" s="94"/>
      <c r="K335" s="20"/>
      <c r="L335" s="20"/>
      <c r="M335" s="20"/>
      <c r="N335" s="20"/>
      <c r="O335" s="20"/>
      <c r="P335" s="20"/>
      <c r="Q335" s="20"/>
      <c r="R335" s="20"/>
      <c r="S335" s="20"/>
      <c r="T335" s="96"/>
      <c r="U335" s="20"/>
      <c r="V335" s="11"/>
      <c r="W335" s="11"/>
      <c r="X335" s="96"/>
      <c r="Y335" s="96"/>
      <c r="Z335" s="96"/>
      <c r="AA335" s="96"/>
      <c r="AB335" s="96"/>
      <c r="AC335" s="96"/>
      <c r="AD335" s="96"/>
      <c r="AE335" s="110"/>
      <c r="AF335" s="110"/>
      <c r="AG335" s="20"/>
      <c r="AH335" s="11"/>
      <c r="AI335" s="20"/>
      <c r="AJ335" s="20"/>
      <c r="AK335" s="20"/>
      <c r="AL335" s="20"/>
      <c r="AM335" s="20"/>
      <c r="AN335" s="254"/>
      <c r="AO335" s="251"/>
      <c r="AP335" s="20"/>
      <c r="AQ335" s="20"/>
      <c r="AR335" s="20"/>
      <c r="AS335" s="20"/>
      <c r="AT335" s="20"/>
      <c r="AU335" s="20"/>
      <c r="AV335" s="20"/>
      <c r="AW335" s="20"/>
      <c r="AX335" s="112"/>
      <c r="AY335" s="112"/>
      <c r="AZ335" s="96"/>
      <c r="BA335" s="11"/>
      <c r="BB335" s="11"/>
      <c r="BC335" s="96"/>
      <c r="BD335" s="20"/>
      <c r="BE335" s="96"/>
      <c r="BF335" s="20"/>
      <c r="BG335" s="20"/>
      <c r="BH335" s="20"/>
      <c r="BI335" s="20"/>
      <c r="BJ335" s="20"/>
      <c r="BK335" s="20"/>
      <c r="BL335" s="11"/>
      <c r="BM335" s="11"/>
      <c r="BN335" s="112"/>
      <c r="BO335" s="20"/>
      <c r="BP335" s="20"/>
      <c r="BQ335" s="20"/>
      <c r="BR335" s="20"/>
      <c r="BS335" s="11"/>
      <c r="BT335" s="11"/>
      <c r="BU335" s="112"/>
      <c r="BV335" s="20"/>
      <c r="BW335" s="112"/>
      <c r="BX335" s="11"/>
      <c r="BY335" s="20"/>
      <c r="BZ335" s="20"/>
      <c r="CA335" s="20"/>
      <c r="CB335" s="20"/>
      <c r="CC335" s="20"/>
      <c r="CD335" s="20"/>
      <c r="CE335" s="20"/>
      <c r="CF335" s="20"/>
      <c r="CG335" s="96"/>
      <c r="CH335" s="20"/>
      <c r="CI335" s="20"/>
      <c r="CJ335" s="20"/>
      <c r="CK335" s="20"/>
      <c r="CL335" s="20"/>
      <c r="CM335" s="20"/>
      <c r="CN335" s="11"/>
      <c r="CO335" s="20"/>
      <c r="CP335" s="20"/>
      <c r="CQ335" s="20"/>
      <c r="CR335" s="20"/>
      <c r="CS335" s="20"/>
      <c r="CT335" s="20"/>
      <c r="CU335" s="20"/>
      <c r="CV335" s="20"/>
      <c r="CW335" s="20"/>
      <c r="CX335" s="96"/>
      <c r="CY335" s="112"/>
      <c r="CZ335" s="20"/>
      <c r="DA335" s="26"/>
      <c r="DB335" s="42"/>
      <c r="DC335" s="43"/>
      <c r="DD335" s="62"/>
      <c r="DE335" s="62"/>
      <c r="DF335" s="4"/>
      <c r="DG335" s="4"/>
      <c r="DH335" s="4"/>
      <c r="DI335" s="4"/>
      <c r="DJ335" s="62"/>
      <c r="DK335" s="62"/>
      <c r="DL335" s="209"/>
      <c r="DM335" s="62"/>
      <c r="DN335" s="13"/>
      <c r="DO335" s="13"/>
      <c r="DP335" s="53"/>
      <c r="DQ335" s="43"/>
      <c r="DR335" s="4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</row>
    <row r="336" spans="1:137" x14ac:dyDescent="0.2">
      <c r="A336" s="102"/>
      <c r="B336" s="188"/>
      <c r="C336" s="19"/>
      <c r="D336" s="19"/>
      <c r="E336" s="82"/>
      <c r="F336" s="82"/>
      <c r="G336" s="9"/>
      <c r="H336" s="93"/>
      <c r="I336" s="47"/>
      <c r="J336" s="94"/>
      <c r="K336" s="20"/>
      <c r="L336" s="20"/>
      <c r="M336" s="20"/>
      <c r="N336" s="20"/>
      <c r="O336" s="20"/>
      <c r="P336" s="20"/>
      <c r="Q336" s="20"/>
      <c r="R336" s="20"/>
      <c r="S336" s="112"/>
      <c r="T336" s="11"/>
      <c r="U336" s="20"/>
      <c r="V336" s="11"/>
      <c r="W336" s="11"/>
      <c r="X336" s="96"/>
      <c r="Y336" s="11"/>
      <c r="Z336" s="11"/>
      <c r="AA336" s="96"/>
      <c r="AB336" s="11"/>
      <c r="AC336" s="11"/>
      <c r="AD336" s="96"/>
      <c r="AE336" s="79"/>
      <c r="AF336" s="79"/>
      <c r="AG336" s="20"/>
      <c r="AH336" s="11"/>
      <c r="AI336" s="20"/>
      <c r="AJ336" s="20"/>
      <c r="AK336" s="20"/>
      <c r="AL336" s="20"/>
      <c r="AM336" s="20"/>
      <c r="AN336" s="254"/>
      <c r="AO336" s="251"/>
      <c r="AP336" s="20"/>
      <c r="AQ336" s="20"/>
      <c r="AR336" s="20"/>
      <c r="AS336" s="20"/>
      <c r="AT336" s="20"/>
      <c r="AU336" s="20"/>
      <c r="AV336" s="20"/>
      <c r="AW336" s="20"/>
      <c r="AX336" s="20"/>
      <c r="AY336" s="112"/>
      <c r="AZ336" s="96"/>
      <c r="BA336" s="11"/>
      <c r="BB336" s="11"/>
      <c r="BC336" s="11"/>
      <c r="BD336" s="20"/>
      <c r="BE336" s="11"/>
      <c r="BF336" s="20"/>
      <c r="BG336" s="20"/>
      <c r="BH336" s="20"/>
      <c r="BI336" s="20"/>
      <c r="BJ336" s="20"/>
      <c r="BK336" s="20"/>
      <c r="BL336" s="11"/>
      <c r="BM336" s="96"/>
      <c r="BN336" s="20"/>
      <c r="BO336" s="20"/>
      <c r="BP336" s="20"/>
      <c r="BQ336" s="20"/>
      <c r="BR336" s="20"/>
      <c r="BS336" s="11"/>
      <c r="BT336" s="96"/>
      <c r="BU336" s="96"/>
      <c r="BV336" s="112"/>
      <c r="BW336" s="11"/>
      <c r="BX336" s="11"/>
      <c r="BY336" s="20"/>
      <c r="BZ336" s="20"/>
      <c r="CA336" s="20"/>
      <c r="CB336" s="20"/>
      <c r="CC336" s="20"/>
      <c r="CD336" s="20"/>
      <c r="CE336" s="20"/>
      <c r="CF336" s="20"/>
      <c r="CG336" s="96"/>
      <c r="CH336" s="20"/>
      <c r="CI336" s="20"/>
      <c r="CJ336" s="20"/>
      <c r="CK336" s="112"/>
      <c r="CL336" s="20"/>
      <c r="CM336" s="20"/>
      <c r="CN336" s="11"/>
      <c r="CO336" s="20"/>
      <c r="CP336" s="20"/>
      <c r="CQ336" s="112"/>
      <c r="CR336" s="112"/>
      <c r="CS336" s="112"/>
      <c r="CT336" s="112"/>
      <c r="CU336" s="112"/>
      <c r="CV336" s="112"/>
      <c r="CW336" s="112"/>
      <c r="CX336" s="96"/>
      <c r="CY336" s="112"/>
      <c r="CZ336" s="20"/>
      <c r="DA336" s="26"/>
      <c r="DB336" s="42"/>
      <c r="DC336" s="43"/>
      <c r="DD336" s="62"/>
      <c r="DE336" s="62"/>
      <c r="DF336" s="4"/>
      <c r="DG336" s="4"/>
      <c r="DH336" s="4"/>
      <c r="DI336" s="4"/>
      <c r="DJ336" s="62"/>
      <c r="DK336" s="62"/>
      <c r="DL336" s="209"/>
      <c r="DM336" s="62"/>
      <c r="DN336" s="13"/>
      <c r="DO336" s="13"/>
      <c r="DP336" s="53"/>
      <c r="DQ336" s="43"/>
      <c r="DR336" s="4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</row>
    <row r="337" spans="1:137" x14ac:dyDescent="0.2">
      <c r="A337" s="102"/>
      <c r="B337" s="148"/>
      <c r="C337" s="19"/>
      <c r="D337" s="19"/>
      <c r="E337" s="82"/>
      <c r="F337" s="82"/>
      <c r="G337" s="9"/>
      <c r="H337" s="93"/>
      <c r="I337" s="47"/>
      <c r="J337" s="94"/>
      <c r="K337" s="20"/>
      <c r="L337" s="20"/>
      <c r="M337" s="20"/>
      <c r="N337" s="20"/>
      <c r="O337" s="20"/>
      <c r="P337" s="20"/>
      <c r="Q337" s="20"/>
      <c r="R337" s="20"/>
      <c r="S337" s="20"/>
      <c r="T337" s="96"/>
      <c r="U337" s="20"/>
      <c r="V337" s="11"/>
      <c r="W337" s="11"/>
      <c r="X337" s="96"/>
      <c r="Y337" s="96"/>
      <c r="Z337" s="96"/>
      <c r="AA337" s="96"/>
      <c r="AB337" s="96"/>
      <c r="AC337" s="96"/>
      <c r="AD337" s="96"/>
      <c r="AE337" s="110"/>
      <c r="AF337" s="110"/>
      <c r="AG337" s="20"/>
      <c r="AH337" s="11"/>
      <c r="AI337" s="20"/>
      <c r="AJ337" s="20"/>
      <c r="AK337" s="20"/>
      <c r="AL337" s="20"/>
      <c r="AM337" s="20"/>
      <c r="AN337" s="254"/>
      <c r="AO337" s="251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96"/>
      <c r="BA337" s="11"/>
      <c r="BB337" s="11"/>
      <c r="BC337" s="96"/>
      <c r="BD337" s="20"/>
      <c r="BE337" s="96"/>
      <c r="BF337" s="20"/>
      <c r="BG337" s="20"/>
      <c r="BH337" s="20"/>
      <c r="BI337" s="20"/>
      <c r="BJ337" s="20"/>
      <c r="BK337" s="20"/>
      <c r="BL337" s="11"/>
      <c r="BM337" s="11"/>
      <c r="BN337" s="112"/>
      <c r="BO337" s="20"/>
      <c r="BP337" s="20"/>
      <c r="BQ337" s="20"/>
      <c r="BR337" s="20"/>
      <c r="BS337" s="11"/>
      <c r="BT337" s="11"/>
      <c r="BU337" s="112"/>
      <c r="BV337" s="112"/>
      <c r="BW337" s="112"/>
      <c r="BX337" s="11"/>
      <c r="BY337" s="20"/>
      <c r="BZ337" s="20"/>
      <c r="CA337" s="20"/>
      <c r="CB337" s="20"/>
      <c r="CC337" s="20"/>
      <c r="CD337" s="20"/>
      <c r="CE337" s="20"/>
      <c r="CF337" s="20"/>
      <c r="CG337" s="96"/>
      <c r="CH337" s="20"/>
      <c r="CI337" s="20"/>
      <c r="CJ337" s="20"/>
      <c r="CK337" s="20"/>
      <c r="CL337" s="20"/>
      <c r="CM337" s="20"/>
      <c r="CN337" s="11"/>
      <c r="CO337" s="20"/>
      <c r="CP337" s="20"/>
      <c r="CQ337" s="20"/>
      <c r="CR337" s="20"/>
      <c r="CS337" s="20"/>
      <c r="CT337" s="20"/>
      <c r="CU337" s="20"/>
      <c r="CV337" s="20"/>
      <c r="CW337" s="20"/>
      <c r="CX337" s="96"/>
      <c r="CY337" s="112"/>
      <c r="CZ337" s="20"/>
      <c r="DA337" s="26"/>
      <c r="DB337" s="42"/>
      <c r="DC337" s="43"/>
      <c r="DD337" s="62"/>
      <c r="DE337" s="62"/>
      <c r="DF337" s="4"/>
      <c r="DG337" s="4"/>
      <c r="DH337" s="4"/>
      <c r="DI337" s="4"/>
      <c r="DJ337" s="62"/>
      <c r="DK337" s="62"/>
      <c r="DL337" s="209"/>
      <c r="DM337" s="62"/>
      <c r="DN337" s="13"/>
      <c r="DO337" s="13"/>
      <c r="DP337" s="53"/>
      <c r="DQ337" s="43"/>
      <c r="DR337" s="4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</row>
    <row r="338" spans="1:137" x14ac:dyDescent="0.2">
      <c r="A338" s="102"/>
      <c r="B338" s="189"/>
      <c r="C338" s="19"/>
      <c r="D338" s="19"/>
      <c r="E338" s="82"/>
      <c r="F338" s="82"/>
      <c r="G338" s="9"/>
      <c r="H338" s="93"/>
      <c r="I338" s="47"/>
      <c r="J338" s="94"/>
      <c r="K338" s="112"/>
      <c r="L338" s="112"/>
      <c r="M338" s="20"/>
      <c r="N338" s="20"/>
      <c r="O338" s="112"/>
      <c r="P338" s="112"/>
      <c r="Q338" s="112"/>
      <c r="R338" s="112"/>
      <c r="S338" s="112"/>
      <c r="T338" s="96"/>
      <c r="U338" s="112"/>
      <c r="V338" s="96"/>
      <c r="W338" s="96"/>
      <c r="X338" s="96"/>
      <c r="Y338" s="96"/>
      <c r="Z338" s="96"/>
      <c r="AA338" s="96"/>
      <c r="AB338" s="96"/>
      <c r="AC338" s="96"/>
      <c r="AD338" s="96"/>
      <c r="AE338" s="110"/>
      <c r="AF338" s="110"/>
      <c r="AG338" s="112"/>
      <c r="AH338" s="96"/>
      <c r="AI338" s="112"/>
      <c r="AJ338" s="112"/>
      <c r="AK338" s="112"/>
      <c r="AL338" s="112"/>
      <c r="AM338" s="112"/>
      <c r="AN338" s="255"/>
      <c r="AO338" s="251"/>
      <c r="AP338" s="112"/>
      <c r="AQ338" s="112"/>
      <c r="AR338" s="112"/>
      <c r="AS338" s="112"/>
      <c r="AT338" s="112"/>
      <c r="AU338" s="112"/>
      <c r="AV338" s="112"/>
      <c r="AW338" s="112"/>
      <c r="AX338" s="112"/>
      <c r="AY338" s="112"/>
      <c r="AZ338" s="96"/>
      <c r="BA338" s="11"/>
      <c r="BB338" s="11"/>
      <c r="BC338" s="96"/>
      <c r="BD338" s="20"/>
      <c r="BE338" s="96"/>
      <c r="BF338" s="20"/>
      <c r="BG338" s="20"/>
      <c r="BH338" s="112"/>
      <c r="BI338" s="112"/>
      <c r="BJ338" s="20"/>
      <c r="BK338" s="20"/>
      <c r="BL338" s="96"/>
      <c r="BM338" s="96"/>
      <c r="BN338" s="112"/>
      <c r="BO338" s="112"/>
      <c r="BP338" s="112"/>
      <c r="BQ338" s="112"/>
      <c r="BR338" s="112"/>
      <c r="BS338" s="96"/>
      <c r="BT338" s="96"/>
      <c r="BU338" s="20"/>
      <c r="BV338" s="20"/>
      <c r="BW338" s="20"/>
      <c r="BX338" s="11"/>
      <c r="BY338" s="20"/>
      <c r="BZ338" s="20"/>
      <c r="CA338" s="20"/>
      <c r="CB338" s="112"/>
      <c r="CC338" s="112"/>
      <c r="CD338" s="112"/>
      <c r="CE338" s="112"/>
      <c r="CF338" s="112"/>
      <c r="CG338" s="96"/>
      <c r="CH338" s="112"/>
      <c r="CI338" s="112"/>
      <c r="CJ338" s="20"/>
      <c r="CK338" s="20"/>
      <c r="CL338" s="112"/>
      <c r="CM338" s="112"/>
      <c r="CN338" s="96"/>
      <c r="CO338" s="112"/>
      <c r="CP338" s="112"/>
      <c r="CQ338" s="112"/>
      <c r="CR338" s="112"/>
      <c r="CS338" s="112"/>
      <c r="CT338" s="112"/>
      <c r="CU338" s="20"/>
      <c r="CV338" s="20"/>
      <c r="CW338" s="20"/>
      <c r="CX338" s="96"/>
      <c r="CY338" s="112"/>
      <c r="CZ338" s="112"/>
      <c r="DA338" s="26"/>
      <c r="DB338" s="42"/>
      <c r="DC338" s="43"/>
      <c r="DD338" s="62"/>
      <c r="DE338" s="62"/>
      <c r="DF338" s="4"/>
      <c r="DG338" s="4"/>
      <c r="DH338" s="4"/>
      <c r="DI338" s="4"/>
      <c r="DJ338" s="62"/>
      <c r="DK338" s="62"/>
      <c r="DL338" s="209"/>
      <c r="DM338" s="62"/>
      <c r="DN338" s="13"/>
      <c r="DO338" s="13"/>
      <c r="DP338" s="53"/>
      <c r="DQ338" s="43"/>
      <c r="DR338" s="4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</row>
    <row r="339" spans="1:137" x14ac:dyDescent="0.2">
      <c r="A339" s="102"/>
      <c r="B339" s="200"/>
      <c r="C339" s="19"/>
      <c r="D339" s="19"/>
      <c r="E339" s="82"/>
      <c r="F339" s="82"/>
      <c r="G339" s="9"/>
      <c r="H339" s="93"/>
      <c r="I339" s="47"/>
      <c r="J339" s="94"/>
      <c r="K339" s="112"/>
      <c r="L339" s="112"/>
      <c r="M339" s="112"/>
      <c r="N339" s="112"/>
      <c r="O339" s="112"/>
      <c r="P339" s="112"/>
      <c r="Q339" s="112"/>
      <c r="R339" s="112"/>
      <c r="S339" s="112"/>
      <c r="T339" s="96"/>
      <c r="U339" s="112"/>
      <c r="V339" s="96"/>
      <c r="W339" s="96"/>
      <c r="X339" s="96"/>
      <c r="Y339" s="96"/>
      <c r="Z339" s="96"/>
      <c r="AA339" s="96"/>
      <c r="AB339" s="96"/>
      <c r="AC339" s="96"/>
      <c r="AD339" s="96"/>
      <c r="AE339" s="110"/>
      <c r="AF339" s="110"/>
      <c r="AG339" s="112"/>
      <c r="AH339" s="96"/>
      <c r="AI339" s="112"/>
      <c r="AJ339" s="112"/>
      <c r="AK339" s="112"/>
      <c r="AL339" s="112"/>
      <c r="AM339" s="112"/>
      <c r="AN339" s="255"/>
      <c r="AO339" s="251"/>
      <c r="AP339" s="112"/>
      <c r="AQ339" s="112"/>
      <c r="AR339" s="112"/>
      <c r="AS339" s="112"/>
      <c r="AT339" s="112"/>
      <c r="AU339" s="112"/>
      <c r="AV339" s="112"/>
      <c r="AW339" s="112"/>
      <c r="AX339" s="112"/>
      <c r="AY339" s="112"/>
      <c r="AZ339" s="96"/>
      <c r="BA339" s="11"/>
      <c r="BB339" s="11"/>
      <c r="BC339" s="96"/>
      <c r="BD339" s="112"/>
      <c r="BE339" s="96"/>
      <c r="BF339" s="112"/>
      <c r="BG339" s="112"/>
      <c r="BH339" s="112"/>
      <c r="BI339" s="112"/>
      <c r="BJ339" s="112"/>
      <c r="BK339" s="112"/>
      <c r="BL339" s="96"/>
      <c r="BM339" s="96"/>
      <c r="BN339" s="112"/>
      <c r="BO339" s="112"/>
      <c r="BP339" s="112"/>
      <c r="BQ339" s="112"/>
      <c r="BR339" s="112"/>
      <c r="BS339" s="96"/>
      <c r="BT339" s="96"/>
      <c r="BU339" s="112"/>
      <c r="BV339" s="112"/>
      <c r="BW339" s="112"/>
      <c r="BX339" s="96"/>
      <c r="BY339" s="112"/>
      <c r="BZ339" s="112"/>
      <c r="CA339" s="112"/>
      <c r="CB339" s="112"/>
      <c r="CC339" s="112"/>
      <c r="CD339" s="112"/>
      <c r="CE339" s="112"/>
      <c r="CF339" s="112"/>
      <c r="CG339" s="96"/>
      <c r="CH339" s="112"/>
      <c r="CI339" s="112"/>
      <c r="CJ339" s="112"/>
      <c r="CK339" s="112"/>
      <c r="CL339" s="112"/>
      <c r="CM339" s="112"/>
      <c r="CN339" s="96"/>
      <c r="CO339" s="112"/>
      <c r="CP339" s="112"/>
      <c r="CQ339" s="112"/>
      <c r="CR339" s="112"/>
      <c r="CS339" s="112"/>
      <c r="CT339" s="112"/>
      <c r="CU339" s="112"/>
      <c r="CV339" s="112"/>
      <c r="CW339" s="112"/>
      <c r="CX339" s="96"/>
      <c r="CY339" s="112"/>
      <c r="CZ339" s="112"/>
      <c r="DA339" s="26"/>
      <c r="DB339" s="42"/>
      <c r="DC339" s="43"/>
      <c r="DD339" s="62"/>
      <c r="DE339" s="62"/>
      <c r="DF339" s="4"/>
      <c r="DG339" s="4"/>
      <c r="DH339" s="4"/>
      <c r="DI339" s="4"/>
      <c r="DJ339" s="62"/>
      <c r="DK339" s="62"/>
      <c r="DL339" s="209"/>
      <c r="DM339" s="62"/>
      <c r="DN339" s="13"/>
      <c r="DO339" s="13"/>
      <c r="DP339" s="53"/>
      <c r="DQ339" s="43"/>
      <c r="DR339" s="4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</row>
    <row r="340" spans="1:137" x14ac:dyDescent="0.2">
      <c r="A340" s="102"/>
      <c r="B340" s="189"/>
      <c r="C340" s="19"/>
      <c r="D340" s="19"/>
      <c r="E340" s="82"/>
      <c r="F340" s="82"/>
      <c r="G340" s="9"/>
      <c r="H340" s="93"/>
      <c r="I340" s="47"/>
      <c r="J340" s="94"/>
      <c r="K340" s="112"/>
      <c r="L340" s="112"/>
      <c r="M340" s="112"/>
      <c r="N340" s="112"/>
      <c r="O340" s="112"/>
      <c r="P340" s="112"/>
      <c r="Q340" s="112"/>
      <c r="R340" s="112"/>
      <c r="S340" s="112"/>
      <c r="T340" s="96"/>
      <c r="U340" s="112"/>
      <c r="V340" s="96"/>
      <c r="W340" s="96"/>
      <c r="X340" s="96"/>
      <c r="Y340" s="96"/>
      <c r="Z340" s="96"/>
      <c r="AA340" s="96"/>
      <c r="AB340" s="96"/>
      <c r="AC340" s="96"/>
      <c r="AD340" s="96"/>
      <c r="AE340" s="110"/>
      <c r="AF340" s="110"/>
      <c r="AG340" s="112"/>
      <c r="AH340" s="96"/>
      <c r="AI340" s="112"/>
      <c r="AJ340" s="112"/>
      <c r="AK340" s="112"/>
      <c r="AL340" s="112"/>
      <c r="AM340" s="112"/>
      <c r="AN340" s="255"/>
      <c r="AO340" s="251"/>
      <c r="AP340" s="112"/>
      <c r="AQ340" s="112"/>
      <c r="AR340" s="112"/>
      <c r="AS340" s="112"/>
      <c r="AT340" s="112"/>
      <c r="AU340" s="112"/>
      <c r="AV340" s="112"/>
      <c r="AW340" s="112"/>
      <c r="AX340" s="112"/>
      <c r="AY340" s="112"/>
      <c r="AZ340" s="96"/>
      <c r="BA340" s="11"/>
      <c r="BB340" s="11"/>
      <c r="BC340" s="96"/>
      <c r="BD340" s="112"/>
      <c r="BE340" s="96"/>
      <c r="BF340" s="112"/>
      <c r="BG340" s="112"/>
      <c r="BH340" s="112"/>
      <c r="BI340" s="112"/>
      <c r="BJ340" s="112"/>
      <c r="BK340" s="112"/>
      <c r="BL340" s="96"/>
      <c r="BM340" s="96"/>
      <c r="BN340" s="112"/>
      <c r="BO340" s="112"/>
      <c r="BP340" s="112"/>
      <c r="BQ340" s="112"/>
      <c r="BR340" s="112"/>
      <c r="BS340" s="96"/>
      <c r="BT340" s="96"/>
      <c r="BU340" s="112"/>
      <c r="BV340" s="112"/>
      <c r="BW340" s="112"/>
      <c r="BX340" s="96"/>
      <c r="BY340" s="112"/>
      <c r="BZ340" s="112"/>
      <c r="CA340" s="112"/>
      <c r="CB340" s="112"/>
      <c r="CC340" s="112"/>
      <c r="CD340" s="112"/>
      <c r="CE340" s="112"/>
      <c r="CF340" s="112"/>
      <c r="CG340" s="96"/>
      <c r="CH340" s="112"/>
      <c r="CI340" s="112"/>
      <c r="CJ340" s="112"/>
      <c r="CK340" s="112"/>
      <c r="CL340" s="112"/>
      <c r="CM340" s="112"/>
      <c r="CN340" s="96"/>
      <c r="CO340" s="112"/>
      <c r="CP340" s="112"/>
      <c r="CQ340" s="112"/>
      <c r="CR340" s="112"/>
      <c r="CS340" s="112"/>
      <c r="CT340" s="112"/>
      <c r="CU340" s="112"/>
      <c r="CV340" s="112"/>
      <c r="CW340" s="112"/>
      <c r="CX340" s="96"/>
      <c r="CY340" s="112"/>
      <c r="CZ340" s="112"/>
      <c r="DA340" s="26"/>
      <c r="DB340" s="42"/>
      <c r="DC340" s="43"/>
      <c r="DD340" s="62"/>
      <c r="DE340" s="62"/>
      <c r="DF340" s="4"/>
      <c r="DG340" s="4"/>
      <c r="DH340" s="4"/>
      <c r="DI340" s="4"/>
      <c r="DJ340" s="62"/>
      <c r="DK340" s="62"/>
      <c r="DL340" s="209"/>
      <c r="DM340" s="62"/>
      <c r="DN340" s="13"/>
      <c r="DO340" s="13"/>
      <c r="DP340" s="53"/>
      <c r="DQ340" s="43"/>
      <c r="DR340" s="4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</row>
    <row r="341" spans="1:137" x14ac:dyDescent="0.2">
      <c r="A341" s="102"/>
      <c r="B341" s="188"/>
      <c r="C341" s="19"/>
      <c r="D341" s="19"/>
      <c r="E341" s="82"/>
      <c r="F341" s="82"/>
      <c r="G341" s="9"/>
      <c r="H341" s="93"/>
      <c r="I341" s="47"/>
      <c r="J341" s="94"/>
      <c r="K341" s="20"/>
      <c r="L341" s="20"/>
      <c r="M341" s="20"/>
      <c r="N341" s="20"/>
      <c r="O341" s="20"/>
      <c r="P341" s="20"/>
      <c r="Q341" s="20"/>
      <c r="R341" s="20"/>
      <c r="S341" s="112"/>
      <c r="T341" s="11"/>
      <c r="U341" s="20"/>
      <c r="V341" s="11"/>
      <c r="W341" s="11"/>
      <c r="X341" s="96"/>
      <c r="Y341" s="11"/>
      <c r="Z341" s="11"/>
      <c r="AA341" s="96"/>
      <c r="AB341" s="11"/>
      <c r="AC341" s="11"/>
      <c r="AD341" s="96"/>
      <c r="AE341" s="79"/>
      <c r="AF341" s="79"/>
      <c r="AG341" s="20"/>
      <c r="AH341" s="11"/>
      <c r="AI341" s="20"/>
      <c r="AJ341" s="20"/>
      <c r="AK341" s="20"/>
      <c r="AL341" s="20"/>
      <c r="AM341" s="20"/>
      <c r="AN341" s="254"/>
      <c r="AO341" s="251"/>
      <c r="AP341" s="20"/>
      <c r="AQ341" s="20"/>
      <c r="AR341" s="20"/>
      <c r="AS341" s="20"/>
      <c r="AT341" s="20"/>
      <c r="AU341" s="20"/>
      <c r="AV341" s="20"/>
      <c r="AW341" s="20"/>
      <c r="AX341" s="20"/>
      <c r="AY341" s="112"/>
      <c r="AZ341" s="96"/>
      <c r="BA341" s="11"/>
      <c r="BB341" s="11"/>
      <c r="BC341" s="11"/>
      <c r="BD341" s="20"/>
      <c r="BE341" s="11"/>
      <c r="BF341" s="20"/>
      <c r="BG341" s="20"/>
      <c r="BH341" s="20"/>
      <c r="BI341" s="20"/>
      <c r="BJ341" s="20"/>
      <c r="BK341" s="20"/>
      <c r="BL341" s="11"/>
      <c r="BM341" s="96"/>
      <c r="BN341" s="20"/>
      <c r="BO341" s="20"/>
      <c r="BP341" s="20"/>
      <c r="BQ341" s="20"/>
      <c r="BR341" s="20"/>
      <c r="BS341" s="11"/>
      <c r="BT341" s="96"/>
      <c r="BU341" s="112"/>
      <c r="BV341" s="112"/>
      <c r="BW341" s="20"/>
      <c r="BX341" s="11"/>
      <c r="BY341" s="112"/>
      <c r="BZ341" s="112"/>
      <c r="CA341" s="20"/>
      <c r="CB341" s="20"/>
      <c r="CC341" s="20"/>
      <c r="CD341" s="20"/>
      <c r="CE341" s="20"/>
      <c r="CF341" s="20"/>
      <c r="CG341" s="96"/>
      <c r="CH341" s="20"/>
      <c r="CI341" s="20"/>
      <c r="CJ341" s="112"/>
      <c r="CK341" s="112"/>
      <c r="CL341" s="20"/>
      <c r="CM341" s="20"/>
      <c r="CN341" s="96"/>
      <c r="CO341" s="112"/>
      <c r="CP341" s="112"/>
      <c r="CQ341" s="20"/>
      <c r="CR341" s="20"/>
      <c r="CS341" s="20"/>
      <c r="CT341" s="20"/>
      <c r="CU341" s="20"/>
      <c r="CV341" s="20"/>
      <c r="CW341" s="20"/>
      <c r="CX341" s="11"/>
      <c r="CY341" s="20"/>
      <c r="CZ341" s="20"/>
      <c r="DA341" s="26"/>
      <c r="DB341" s="42"/>
      <c r="DC341" s="43"/>
      <c r="DD341" s="62"/>
      <c r="DE341" s="62"/>
      <c r="DF341" s="4"/>
      <c r="DG341" s="4"/>
      <c r="DH341" s="4"/>
      <c r="DI341" s="4"/>
      <c r="DJ341" s="62"/>
      <c r="DK341" s="62"/>
      <c r="DL341" s="209"/>
      <c r="DM341" s="62"/>
      <c r="DN341" s="13"/>
      <c r="DO341" s="13"/>
      <c r="DP341" s="53"/>
      <c r="DQ341" s="43"/>
      <c r="DR341" s="4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</row>
    <row r="342" spans="1:137" x14ac:dyDescent="0.2">
      <c r="A342" s="102"/>
      <c r="B342" s="148"/>
      <c r="C342" s="19"/>
      <c r="D342" s="19"/>
      <c r="E342" s="82"/>
      <c r="F342" s="82"/>
      <c r="G342" s="9"/>
      <c r="H342" s="93"/>
      <c r="I342" s="47"/>
      <c r="J342" s="94"/>
      <c r="K342" s="20"/>
      <c r="L342" s="20"/>
      <c r="M342" s="20"/>
      <c r="N342" s="20"/>
      <c r="O342" s="20"/>
      <c r="P342" s="20"/>
      <c r="Q342" s="20"/>
      <c r="R342" s="20"/>
      <c r="S342" s="20"/>
      <c r="T342" s="96"/>
      <c r="U342" s="20"/>
      <c r="V342" s="11"/>
      <c r="W342" s="20"/>
      <c r="X342" s="96"/>
      <c r="Y342" s="96"/>
      <c r="Z342" s="96"/>
      <c r="AA342" s="96"/>
      <c r="AB342" s="96"/>
      <c r="AC342" s="96"/>
      <c r="AD342" s="96"/>
      <c r="AE342" s="110"/>
      <c r="AF342" s="110"/>
      <c r="AG342" s="20"/>
      <c r="AH342" s="11"/>
      <c r="AI342" s="20"/>
      <c r="AJ342" s="20"/>
      <c r="AK342" s="20"/>
      <c r="AL342" s="20"/>
      <c r="AM342" s="20"/>
      <c r="AN342" s="254"/>
      <c r="AO342" s="251"/>
      <c r="AP342" s="112"/>
      <c r="AQ342" s="20"/>
      <c r="AR342" s="112"/>
      <c r="AS342" s="20"/>
      <c r="AT342" s="112"/>
      <c r="AU342" s="20"/>
      <c r="AV342" s="20"/>
      <c r="AW342" s="20"/>
      <c r="AX342" s="20"/>
      <c r="AY342" s="20"/>
      <c r="AZ342" s="96"/>
      <c r="BA342" s="11"/>
      <c r="BB342" s="11"/>
      <c r="BC342" s="96"/>
      <c r="BD342" s="20"/>
      <c r="BE342" s="96"/>
      <c r="BF342" s="20"/>
      <c r="BG342" s="20"/>
      <c r="BH342" s="20"/>
      <c r="BI342" s="20"/>
      <c r="BJ342" s="20"/>
      <c r="BK342" s="20"/>
      <c r="BL342" s="11"/>
      <c r="BM342" s="11"/>
      <c r="BN342" s="112"/>
      <c r="BO342" s="20"/>
      <c r="BP342" s="20"/>
      <c r="BQ342" s="20"/>
      <c r="BR342" s="20"/>
      <c r="BS342" s="11"/>
      <c r="BT342" s="11"/>
      <c r="BU342" s="112"/>
      <c r="BV342" s="112"/>
      <c r="BW342" s="112"/>
      <c r="BX342" s="11"/>
      <c r="BY342" s="20"/>
      <c r="BZ342" s="20"/>
      <c r="CA342" s="20"/>
      <c r="CB342" s="20"/>
      <c r="CC342" s="20"/>
      <c r="CD342" s="20"/>
      <c r="CE342" s="20"/>
      <c r="CF342" s="20"/>
      <c r="CG342" s="96"/>
      <c r="CH342" s="20"/>
      <c r="CI342" s="20"/>
      <c r="CJ342" s="20"/>
      <c r="CK342" s="20"/>
      <c r="CL342" s="20"/>
      <c r="CM342" s="20"/>
      <c r="CN342" s="11"/>
      <c r="CO342" s="20"/>
      <c r="CP342" s="20"/>
      <c r="CQ342" s="20"/>
      <c r="CR342" s="20"/>
      <c r="CS342" s="20"/>
      <c r="CT342" s="20"/>
      <c r="CU342" s="20"/>
      <c r="CV342" s="20"/>
      <c r="CW342" s="20"/>
      <c r="CX342" s="96"/>
      <c r="CY342" s="112"/>
      <c r="CZ342" s="20"/>
      <c r="DA342" s="26"/>
      <c r="DB342" s="42"/>
      <c r="DC342" s="43"/>
      <c r="DD342" s="62"/>
      <c r="DE342" s="62"/>
      <c r="DF342" s="4"/>
      <c r="DG342" s="4"/>
      <c r="DH342" s="4"/>
      <c r="DI342" s="4"/>
      <c r="DJ342" s="62"/>
      <c r="DK342" s="62"/>
      <c r="DL342" s="209"/>
      <c r="DM342" s="62"/>
      <c r="DN342" s="13"/>
      <c r="DO342" s="13"/>
      <c r="DP342" s="53"/>
      <c r="DQ342" s="43"/>
      <c r="DR342" s="4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</row>
    <row r="343" spans="1:137" x14ac:dyDescent="0.2">
      <c r="A343" s="102"/>
      <c r="B343" s="200"/>
      <c r="C343" s="19"/>
      <c r="D343" s="19"/>
      <c r="E343" s="82"/>
      <c r="F343" s="82"/>
      <c r="G343" s="9"/>
      <c r="H343" s="93"/>
      <c r="I343" s="47"/>
      <c r="J343" s="94"/>
      <c r="K343" s="112"/>
      <c r="L343" s="112"/>
      <c r="M343" s="112"/>
      <c r="N343" s="112"/>
      <c r="O343" s="112"/>
      <c r="P343" s="112"/>
      <c r="Q343" s="112"/>
      <c r="R343" s="112"/>
      <c r="S343" s="112"/>
      <c r="T343" s="96"/>
      <c r="U343" s="112"/>
      <c r="V343" s="96"/>
      <c r="W343" s="96"/>
      <c r="X343" s="96"/>
      <c r="Y343" s="96"/>
      <c r="Z343" s="96"/>
      <c r="AA343" s="96"/>
      <c r="AB343" s="96"/>
      <c r="AC343" s="96"/>
      <c r="AD343" s="96"/>
      <c r="AE343" s="110"/>
      <c r="AF343" s="110"/>
      <c r="AG343" s="112"/>
      <c r="AH343" s="96"/>
      <c r="AI343" s="112"/>
      <c r="AJ343" s="112"/>
      <c r="AK343" s="112"/>
      <c r="AL343" s="112"/>
      <c r="AM343" s="112"/>
      <c r="AN343" s="255"/>
      <c r="AO343" s="251"/>
      <c r="AP343" s="112"/>
      <c r="AQ343" s="112"/>
      <c r="AR343" s="112"/>
      <c r="AS343" s="112"/>
      <c r="AT343" s="112"/>
      <c r="AU343" s="112"/>
      <c r="AV343" s="112"/>
      <c r="AW343" s="112"/>
      <c r="AX343" s="112"/>
      <c r="AY343" s="112"/>
      <c r="AZ343" s="96"/>
      <c r="BA343" s="11"/>
      <c r="BB343" s="11"/>
      <c r="BC343" s="96"/>
      <c r="BD343" s="20"/>
      <c r="BE343" s="96"/>
      <c r="BF343" s="20"/>
      <c r="BG343" s="112"/>
      <c r="BH343" s="112"/>
      <c r="BI343" s="112"/>
      <c r="BJ343" s="112"/>
      <c r="BK343" s="112"/>
      <c r="BL343" s="96"/>
      <c r="BM343" s="96"/>
      <c r="BN343" s="112"/>
      <c r="BO343" s="112"/>
      <c r="BP343" s="112"/>
      <c r="BQ343" s="112"/>
      <c r="BR343" s="112"/>
      <c r="BS343" s="96"/>
      <c r="BT343" s="96"/>
      <c r="BU343" s="112"/>
      <c r="BV343" s="112"/>
      <c r="BW343" s="112"/>
      <c r="BX343" s="96"/>
      <c r="BY343" s="112"/>
      <c r="BZ343" s="112"/>
      <c r="CA343" s="112"/>
      <c r="CB343" s="112"/>
      <c r="CC343" s="112"/>
      <c r="CD343" s="112"/>
      <c r="CE343" s="112"/>
      <c r="CF343" s="112"/>
      <c r="CG343" s="96"/>
      <c r="CH343" s="112"/>
      <c r="CI343" s="112"/>
      <c r="CJ343" s="112"/>
      <c r="CK343" s="112"/>
      <c r="CL343" s="112"/>
      <c r="CM343" s="112"/>
      <c r="CN343" s="96"/>
      <c r="CO343" s="112"/>
      <c r="CP343" s="112"/>
      <c r="CQ343" s="112"/>
      <c r="CR343" s="112"/>
      <c r="CS343" s="112"/>
      <c r="CT343" s="112"/>
      <c r="CU343" s="20"/>
      <c r="CV343" s="20"/>
      <c r="CW343" s="20"/>
      <c r="CX343" s="96"/>
      <c r="CY343" s="112"/>
      <c r="CZ343" s="112"/>
      <c r="DA343" s="26"/>
      <c r="DB343" s="42"/>
      <c r="DC343" s="43"/>
      <c r="DD343" s="62"/>
      <c r="DE343" s="62"/>
      <c r="DF343" s="4"/>
      <c r="DG343" s="4"/>
      <c r="DH343" s="4"/>
      <c r="DI343" s="4"/>
      <c r="DJ343" s="62"/>
      <c r="DK343" s="62"/>
      <c r="DL343" s="209"/>
      <c r="DM343" s="62"/>
      <c r="DN343" s="13"/>
      <c r="DO343" s="13"/>
      <c r="DP343" s="53"/>
      <c r="DQ343" s="43"/>
      <c r="DR343" s="4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</row>
    <row r="344" spans="1:137" x14ac:dyDescent="0.2">
      <c r="A344" s="102"/>
      <c r="B344" s="148"/>
      <c r="C344" s="19"/>
      <c r="D344" s="19"/>
      <c r="E344" s="82"/>
      <c r="F344" s="82"/>
      <c r="G344" s="9"/>
      <c r="H344" s="93"/>
      <c r="I344" s="47"/>
      <c r="J344" s="94"/>
      <c r="K344" s="20"/>
      <c r="L344" s="20"/>
      <c r="M344" s="20"/>
      <c r="N344" s="20"/>
      <c r="O344" s="20"/>
      <c r="P344" s="20"/>
      <c r="Q344" s="20"/>
      <c r="R344" s="20"/>
      <c r="S344" s="20"/>
      <c r="T344" s="96"/>
      <c r="U344" s="20"/>
      <c r="V344" s="11"/>
      <c r="W344" s="20"/>
      <c r="X344" s="96"/>
      <c r="Y344" s="96"/>
      <c r="Z344" s="96"/>
      <c r="AA344" s="96"/>
      <c r="AB344" s="96"/>
      <c r="AC344" s="96"/>
      <c r="AD344" s="96"/>
      <c r="AE344" s="110"/>
      <c r="AF344" s="110"/>
      <c r="AG344" s="20"/>
      <c r="AH344" s="11"/>
      <c r="AI344" s="20"/>
      <c r="AJ344" s="20"/>
      <c r="AK344" s="20"/>
      <c r="AL344" s="20"/>
      <c r="AM344" s="20"/>
      <c r="AN344" s="254"/>
      <c r="AO344" s="251"/>
      <c r="AP344" s="20"/>
      <c r="AQ344" s="20"/>
      <c r="AR344" s="20"/>
      <c r="AS344" s="20"/>
      <c r="AT344" s="20"/>
      <c r="AU344" s="20"/>
      <c r="AV344" s="20"/>
      <c r="AW344" s="20"/>
      <c r="AX344" s="112"/>
      <c r="AY344" s="112"/>
      <c r="AZ344" s="96"/>
      <c r="BA344" s="11"/>
      <c r="BB344" s="11"/>
      <c r="BC344" s="96"/>
      <c r="BD344" s="20"/>
      <c r="BE344" s="96"/>
      <c r="BF344" s="20"/>
      <c r="BG344" s="20"/>
      <c r="BH344" s="20"/>
      <c r="BI344" s="20"/>
      <c r="BJ344" s="20"/>
      <c r="BK344" s="20"/>
      <c r="BL344" s="11"/>
      <c r="BM344" s="11"/>
      <c r="BN344" s="112"/>
      <c r="BO344" s="20"/>
      <c r="BP344" s="20"/>
      <c r="BQ344" s="20"/>
      <c r="BR344" s="20"/>
      <c r="BS344" s="11"/>
      <c r="BT344" s="11"/>
      <c r="BU344" s="112"/>
      <c r="BV344" s="112"/>
      <c r="BW344" s="112"/>
      <c r="BX344" s="11"/>
      <c r="BY344" s="20"/>
      <c r="BZ344" s="20"/>
      <c r="CA344" s="20"/>
      <c r="CB344" s="20"/>
      <c r="CC344" s="20"/>
      <c r="CD344" s="20"/>
      <c r="CE344" s="20"/>
      <c r="CF344" s="20"/>
      <c r="CG344" s="96"/>
      <c r="CH344" s="20"/>
      <c r="CI344" s="20"/>
      <c r="CJ344" s="20"/>
      <c r="CK344" s="20"/>
      <c r="CL344" s="20"/>
      <c r="CM344" s="20"/>
      <c r="CN344" s="11"/>
      <c r="CO344" s="20"/>
      <c r="CP344" s="20"/>
      <c r="CQ344" s="20"/>
      <c r="CR344" s="20"/>
      <c r="CS344" s="20"/>
      <c r="CT344" s="20"/>
      <c r="CU344" s="20"/>
      <c r="CV344" s="20"/>
      <c r="CW344" s="20"/>
      <c r="CX344" s="96"/>
      <c r="CY344" s="112"/>
      <c r="CZ344" s="20"/>
      <c r="DA344" s="26"/>
      <c r="DB344" s="53"/>
      <c r="DC344" s="68"/>
      <c r="DD344" s="62"/>
      <c r="DE344" s="209"/>
      <c r="DF344" s="115"/>
      <c r="DG344" s="4"/>
      <c r="DH344" s="115"/>
      <c r="DI344" s="115"/>
      <c r="DJ344" s="62"/>
      <c r="DK344" s="62"/>
      <c r="DL344" s="209"/>
      <c r="DM344" s="62"/>
      <c r="DN344" s="13"/>
      <c r="DO344" s="13"/>
      <c r="DP344" s="53"/>
      <c r="DQ344" s="43"/>
      <c r="DR344" s="4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</row>
    <row r="345" spans="1:137" x14ac:dyDescent="0.2">
      <c r="A345" s="102"/>
      <c r="B345" s="200"/>
      <c r="C345" s="19"/>
      <c r="D345" s="19"/>
      <c r="E345" s="82"/>
      <c r="F345" s="82"/>
      <c r="G345" s="9"/>
      <c r="H345" s="93"/>
      <c r="I345" s="47"/>
      <c r="J345" s="94"/>
      <c r="K345" s="112"/>
      <c r="L345" s="112"/>
      <c r="M345" s="112"/>
      <c r="N345" s="112"/>
      <c r="O345" s="112"/>
      <c r="P345" s="112"/>
      <c r="Q345" s="112"/>
      <c r="R345" s="112"/>
      <c r="S345" s="112"/>
      <c r="T345" s="96"/>
      <c r="U345" s="112"/>
      <c r="V345" s="96"/>
      <c r="W345" s="112"/>
      <c r="X345" s="96"/>
      <c r="Y345" s="96"/>
      <c r="Z345" s="96"/>
      <c r="AA345" s="96"/>
      <c r="AB345" s="96"/>
      <c r="AC345" s="96"/>
      <c r="AD345" s="96"/>
      <c r="AE345" s="110"/>
      <c r="AF345" s="110"/>
      <c r="AG345" s="112"/>
      <c r="AH345" s="96"/>
      <c r="AI345" s="112"/>
      <c r="AJ345" s="112"/>
      <c r="AK345" s="112"/>
      <c r="AL345" s="112"/>
      <c r="AM345" s="112"/>
      <c r="AN345" s="255"/>
      <c r="AO345" s="251"/>
      <c r="AP345" s="112"/>
      <c r="AQ345" s="112"/>
      <c r="AR345" s="112"/>
      <c r="AS345" s="112"/>
      <c r="AT345" s="112"/>
      <c r="AU345" s="112"/>
      <c r="AV345" s="112"/>
      <c r="AW345" s="112"/>
      <c r="AX345" s="112"/>
      <c r="AY345" s="112"/>
      <c r="AZ345" s="96"/>
      <c r="BA345" s="11"/>
      <c r="BB345" s="11"/>
      <c r="BC345" s="96"/>
      <c r="BD345" s="112"/>
      <c r="BE345" s="96"/>
      <c r="BF345" s="112"/>
      <c r="BG345" s="112"/>
      <c r="BH345" s="112"/>
      <c r="BI345" s="112"/>
      <c r="BJ345" s="112"/>
      <c r="BK345" s="112"/>
      <c r="BL345" s="96"/>
      <c r="BM345" s="96"/>
      <c r="BN345" s="112"/>
      <c r="BO345" s="112"/>
      <c r="BP345" s="112"/>
      <c r="BQ345" s="112"/>
      <c r="BR345" s="112"/>
      <c r="BS345" s="96"/>
      <c r="BT345" s="96"/>
      <c r="BU345" s="112"/>
      <c r="BV345" s="112"/>
      <c r="BW345" s="112"/>
      <c r="BX345" s="96"/>
      <c r="BY345" s="112"/>
      <c r="BZ345" s="112"/>
      <c r="CA345" s="112"/>
      <c r="CB345" s="112"/>
      <c r="CC345" s="112"/>
      <c r="CD345" s="112"/>
      <c r="CE345" s="112"/>
      <c r="CF345" s="112"/>
      <c r="CG345" s="96"/>
      <c r="CH345" s="112"/>
      <c r="CI345" s="112"/>
      <c r="CJ345" s="112"/>
      <c r="CK345" s="112"/>
      <c r="CL345" s="112"/>
      <c r="CM345" s="112"/>
      <c r="CN345" s="96"/>
      <c r="CO345" s="112"/>
      <c r="CP345" s="112"/>
      <c r="CQ345" s="112"/>
      <c r="CR345" s="112"/>
      <c r="CS345" s="112"/>
      <c r="CT345" s="112"/>
      <c r="CU345" s="112"/>
      <c r="CV345" s="112"/>
      <c r="CW345" s="112"/>
      <c r="CX345" s="96"/>
      <c r="CY345" s="112"/>
      <c r="CZ345" s="112"/>
      <c r="DA345" s="26"/>
      <c r="DB345" s="42"/>
      <c r="DC345" s="43"/>
      <c r="DD345" s="62"/>
      <c r="DE345" s="62"/>
      <c r="DF345" s="4"/>
      <c r="DG345" s="4"/>
      <c r="DH345" s="4"/>
      <c r="DI345" s="4"/>
      <c r="DJ345" s="62"/>
      <c r="DK345" s="62"/>
      <c r="DL345" s="209"/>
      <c r="DM345" s="62"/>
      <c r="DN345" s="13"/>
      <c r="DO345" s="13"/>
      <c r="DP345" s="53"/>
      <c r="DQ345" s="43"/>
      <c r="DR345" s="4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</row>
    <row r="346" spans="1:137" x14ac:dyDescent="0.2">
      <c r="A346" s="102"/>
      <c r="B346" s="200"/>
      <c r="C346" s="19"/>
      <c r="D346" s="19"/>
      <c r="E346" s="82"/>
      <c r="F346" s="82"/>
      <c r="G346" s="9"/>
      <c r="H346" s="93"/>
      <c r="I346" s="47"/>
      <c r="J346" s="94"/>
      <c r="K346" s="112"/>
      <c r="L346" s="112"/>
      <c r="M346" s="112"/>
      <c r="N346" s="112"/>
      <c r="O346" s="112"/>
      <c r="P346" s="112"/>
      <c r="Q346" s="112"/>
      <c r="R346" s="112"/>
      <c r="S346" s="112"/>
      <c r="T346" s="96"/>
      <c r="U346" s="112"/>
      <c r="V346" s="96"/>
      <c r="W346" s="112"/>
      <c r="X346" s="96"/>
      <c r="Y346" s="96"/>
      <c r="Z346" s="96"/>
      <c r="AA346" s="96"/>
      <c r="AB346" s="96"/>
      <c r="AC346" s="96"/>
      <c r="AD346" s="96"/>
      <c r="AE346" s="110"/>
      <c r="AF346" s="110"/>
      <c r="AG346" s="112"/>
      <c r="AH346" s="96"/>
      <c r="AI346" s="112"/>
      <c r="AJ346" s="112"/>
      <c r="AK346" s="112"/>
      <c r="AL346" s="112"/>
      <c r="AM346" s="112"/>
      <c r="AN346" s="255"/>
      <c r="AO346" s="251"/>
      <c r="AP346" s="112"/>
      <c r="AQ346" s="112"/>
      <c r="AR346" s="112"/>
      <c r="AS346" s="112"/>
      <c r="AT346" s="112"/>
      <c r="AU346" s="112"/>
      <c r="AV346" s="112"/>
      <c r="AW346" s="112"/>
      <c r="AX346" s="112"/>
      <c r="AY346" s="112"/>
      <c r="AZ346" s="96"/>
      <c r="BA346" s="11"/>
      <c r="BB346" s="11"/>
      <c r="BC346" s="96"/>
      <c r="BD346" s="112"/>
      <c r="BE346" s="96"/>
      <c r="BF346" s="112"/>
      <c r="BG346" s="112"/>
      <c r="BH346" s="112"/>
      <c r="BI346" s="112"/>
      <c r="BJ346" s="112"/>
      <c r="BK346" s="112"/>
      <c r="BL346" s="96"/>
      <c r="BM346" s="96"/>
      <c r="BN346" s="112"/>
      <c r="BO346" s="112"/>
      <c r="BP346" s="112"/>
      <c r="BQ346" s="112"/>
      <c r="BR346" s="112"/>
      <c r="BS346" s="96"/>
      <c r="BT346" s="96"/>
      <c r="BU346" s="112"/>
      <c r="BV346" s="112"/>
      <c r="BW346" s="112"/>
      <c r="BX346" s="96"/>
      <c r="BY346" s="112"/>
      <c r="BZ346" s="112"/>
      <c r="CA346" s="112"/>
      <c r="CB346" s="112"/>
      <c r="CC346" s="112"/>
      <c r="CD346" s="112"/>
      <c r="CE346" s="112"/>
      <c r="CF346" s="112"/>
      <c r="CG346" s="96"/>
      <c r="CH346" s="112"/>
      <c r="CI346" s="112"/>
      <c r="CJ346" s="112"/>
      <c r="CK346" s="112"/>
      <c r="CL346" s="112"/>
      <c r="CM346" s="112"/>
      <c r="CN346" s="96"/>
      <c r="CO346" s="112"/>
      <c r="CP346" s="112"/>
      <c r="CQ346" s="112"/>
      <c r="CR346" s="112"/>
      <c r="CS346" s="112"/>
      <c r="CT346" s="112"/>
      <c r="CU346" s="112"/>
      <c r="CV346" s="112"/>
      <c r="CW346" s="112"/>
      <c r="CX346" s="96"/>
      <c r="CY346" s="112"/>
      <c r="CZ346" s="112"/>
      <c r="DA346" s="26"/>
      <c r="DB346" s="42"/>
      <c r="DC346" s="43"/>
      <c r="DD346" s="62"/>
      <c r="DE346" s="62"/>
      <c r="DF346" s="4"/>
      <c r="DG346" s="4"/>
      <c r="DH346" s="4"/>
      <c r="DI346" s="4"/>
      <c r="DJ346" s="62"/>
      <c r="DK346" s="62"/>
      <c r="DL346" s="209"/>
      <c r="DM346" s="62"/>
      <c r="DN346" s="13"/>
      <c r="DO346" s="13"/>
      <c r="DP346" s="53"/>
      <c r="DQ346" s="43"/>
      <c r="DR346" s="4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</row>
    <row r="347" spans="1:137" x14ac:dyDescent="0.2">
      <c r="A347" s="102"/>
      <c r="B347" s="200"/>
      <c r="C347" s="19"/>
      <c r="D347" s="19"/>
      <c r="E347" s="82"/>
      <c r="F347" s="82"/>
      <c r="G347" s="9"/>
      <c r="H347" s="93"/>
      <c r="I347" s="47"/>
      <c r="J347" s="94"/>
      <c r="K347" s="112"/>
      <c r="L347" s="112"/>
      <c r="M347" s="112"/>
      <c r="N347" s="112"/>
      <c r="O347" s="112"/>
      <c r="P347" s="112"/>
      <c r="Q347" s="112"/>
      <c r="R347" s="112"/>
      <c r="S347" s="112"/>
      <c r="T347" s="96"/>
      <c r="U347" s="112"/>
      <c r="V347" s="96"/>
      <c r="W347" s="112"/>
      <c r="X347" s="109"/>
      <c r="Y347" s="96"/>
      <c r="Z347" s="96"/>
      <c r="AA347" s="109"/>
      <c r="AB347" s="96"/>
      <c r="AC347" s="96"/>
      <c r="AD347" s="109"/>
      <c r="AE347" s="110"/>
      <c r="AF347" s="110"/>
      <c r="AG347" s="112"/>
      <c r="AH347" s="96"/>
      <c r="AI347" s="112"/>
      <c r="AJ347" s="112"/>
      <c r="AK347" s="112"/>
      <c r="AL347" s="112"/>
      <c r="AM347" s="112"/>
      <c r="AN347" s="255"/>
      <c r="AO347" s="251"/>
      <c r="AP347" s="191"/>
      <c r="AQ347" s="112"/>
      <c r="AR347" s="191"/>
      <c r="AS347" s="112"/>
      <c r="AT347" s="191"/>
      <c r="AU347" s="112"/>
      <c r="AV347" s="112"/>
      <c r="AW347" s="112"/>
      <c r="AX347" s="112"/>
      <c r="AY347" s="112"/>
      <c r="AZ347" s="96"/>
      <c r="BA347" s="11"/>
      <c r="BB347" s="11"/>
      <c r="BC347" s="96"/>
      <c r="BD347" s="112"/>
      <c r="BE347" s="96"/>
      <c r="BF347" s="112"/>
      <c r="BG347" s="112"/>
      <c r="BH347" s="112"/>
      <c r="BI347" s="112"/>
      <c r="BJ347" s="112"/>
      <c r="BK347" s="112"/>
      <c r="BL347" s="96"/>
      <c r="BM347" s="96"/>
      <c r="BN347" s="112"/>
      <c r="BO347" s="112"/>
      <c r="BP347" s="112"/>
      <c r="BQ347" s="112"/>
      <c r="BR347" s="112"/>
      <c r="BS347" s="96"/>
      <c r="BT347" s="96"/>
      <c r="BU347" s="112"/>
      <c r="BV347" s="112"/>
      <c r="BW347" s="112"/>
      <c r="BX347" s="109"/>
      <c r="BY347" s="112"/>
      <c r="BZ347" s="112"/>
      <c r="CA347" s="112"/>
      <c r="CB347" s="112"/>
      <c r="CC347" s="112"/>
      <c r="CD347" s="112"/>
      <c r="CE347" s="112"/>
      <c r="CF347" s="112"/>
      <c r="CG347" s="96"/>
      <c r="CH347" s="112"/>
      <c r="CI347" s="112"/>
      <c r="CJ347" s="112"/>
      <c r="CK347" s="112"/>
      <c r="CL347" s="112"/>
      <c r="CM347" s="112"/>
      <c r="CN347" s="96"/>
      <c r="CO347" s="112"/>
      <c r="CP347" s="112"/>
      <c r="CQ347" s="112"/>
      <c r="CR347" s="112"/>
      <c r="CS347" s="112"/>
      <c r="CT347" s="112"/>
      <c r="CU347" s="112"/>
      <c r="CV347" s="112"/>
      <c r="CW347" s="112"/>
      <c r="CX347" s="96"/>
      <c r="CY347" s="112"/>
      <c r="CZ347" s="191"/>
      <c r="DA347" s="26"/>
      <c r="DB347" s="42"/>
      <c r="DC347" s="43"/>
      <c r="DD347" s="62"/>
      <c r="DE347" s="62"/>
      <c r="DF347" s="4"/>
      <c r="DG347" s="4"/>
      <c r="DH347" s="4"/>
      <c r="DI347" s="4"/>
      <c r="DJ347" s="62"/>
      <c r="DK347" s="62"/>
      <c r="DL347" s="209"/>
      <c r="DM347" s="62"/>
      <c r="DN347" s="13"/>
      <c r="DO347" s="13"/>
      <c r="DP347" s="53"/>
      <c r="DQ347" s="43"/>
      <c r="DR347" s="4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</row>
    <row r="348" spans="1:137" x14ac:dyDescent="0.2">
      <c r="A348" s="102"/>
      <c r="B348" s="188"/>
      <c r="C348" s="19"/>
      <c r="D348" s="19"/>
      <c r="E348" s="82"/>
      <c r="F348" s="82"/>
      <c r="G348" s="9"/>
      <c r="H348" s="93"/>
      <c r="I348" s="47"/>
      <c r="J348" s="94"/>
      <c r="K348" s="20"/>
      <c r="L348" s="20"/>
      <c r="M348" s="20"/>
      <c r="N348" s="20"/>
      <c r="O348" s="20"/>
      <c r="P348" s="20"/>
      <c r="Q348" s="20"/>
      <c r="R348" s="20"/>
      <c r="S348" s="112"/>
      <c r="T348" s="11"/>
      <c r="U348" s="20"/>
      <c r="V348" s="11"/>
      <c r="W348" s="20"/>
      <c r="X348" s="96"/>
      <c r="Y348" s="11"/>
      <c r="Z348" s="11"/>
      <c r="AA348" s="96"/>
      <c r="AB348" s="11"/>
      <c r="AC348" s="11"/>
      <c r="AD348" s="96"/>
      <c r="AE348" s="79"/>
      <c r="AF348" s="79"/>
      <c r="AG348" s="20"/>
      <c r="AH348" s="11"/>
      <c r="AI348" s="20"/>
      <c r="AJ348" s="20"/>
      <c r="AK348" s="20"/>
      <c r="AL348" s="20"/>
      <c r="AM348" s="20"/>
      <c r="AN348" s="254"/>
      <c r="AO348" s="251"/>
      <c r="AP348" s="20"/>
      <c r="AQ348" s="20"/>
      <c r="AR348" s="20"/>
      <c r="AS348" s="20"/>
      <c r="AT348" s="20"/>
      <c r="AU348" s="20"/>
      <c r="AV348" s="20"/>
      <c r="AW348" s="20"/>
      <c r="AX348" s="20"/>
      <c r="AY348" s="112"/>
      <c r="AZ348" s="96"/>
      <c r="BA348" s="11"/>
      <c r="BB348" s="11"/>
      <c r="BC348" s="11"/>
      <c r="BD348" s="20"/>
      <c r="BE348" s="11"/>
      <c r="BF348" s="20"/>
      <c r="BG348" s="20"/>
      <c r="BH348" s="20"/>
      <c r="BI348" s="20"/>
      <c r="BJ348" s="20"/>
      <c r="BK348" s="20"/>
      <c r="BL348" s="11"/>
      <c r="BM348" s="96"/>
      <c r="BN348" s="20"/>
      <c r="BO348" s="20"/>
      <c r="BP348" s="20"/>
      <c r="BQ348" s="20"/>
      <c r="BR348" s="20"/>
      <c r="BS348" s="11"/>
      <c r="BT348" s="96"/>
      <c r="BU348" s="112"/>
      <c r="BV348" s="112"/>
      <c r="BW348" s="20"/>
      <c r="BX348" s="11"/>
      <c r="BY348" s="20"/>
      <c r="BZ348" s="20"/>
      <c r="CA348" s="20"/>
      <c r="CB348" s="20"/>
      <c r="CC348" s="20"/>
      <c r="CD348" s="20"/>
      <c r="CE348" s="20"/>
      <c r="CF348" s="20"/>
      <c r="CG348" s="96"/>
      <c r="CH348" s="20"/>
      <c r="CI348" s="20"/>
      <c r="CJ348" s="20"/>
      <c r="CK348" s="20"/>
      <c r="CL348" s="20"/>
      <c r="CM348" s="20"/>
      <c r="CN348" s="11"/>
      <c r="CO348" s="20"/>
      <c r="CP348" s="20"/>
      <c r="CQ348" s="20"/>
      <c r="CR348" s="112"/>
      <c r="CS348" s="112"/>
      <c r="CT348" s="112"/>
      <c r="CU348" s="112"/>
      <c r="CV348" s="112"/>
      <c r="CW348" s="112"/>
      <c r="CX348" s="11"/>
      <c r="CY348" s="20"/>
      <c r="CZ348" s="20"/>
      <c r="DA348" s="26"/>
      <c r="DB348" s="42"/>
      <c r="DC348" s="43"/>
      <c r="DD348" s="62"/>
      <c r="DE348" s="62"/>
      <c r="DF348" s="4"/>
      <c r="DG348" s="4"/>
      <c r="DH348" s="4"/>
      <c r="DI348" s="4"/>
      <c r="DJ348" s="62"/>
      <c r="DK348" s="62"/>
      <c r="DL348" s="209"/>
      <c r="DM348" s="62"/>
      <c r="DN348" s="13"/>
      <c r="DO348" s="13"/>
      <c r="DP348" s="53"/>
      <c r="DQ348" s="43"/>
      <c r="DR348" s="4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</row>
    <row r="349" spans="1:137" x14ac:dyDescent="0.2">
      <c r="A349" s="102"/>
      <c r="B349" s="148"/>
      <c r="C349" s="19"/>
      <c r="D349" s="19"/>
      <c r="E349" s="82"/>
      <c r="F349" s="82"/>
      <c r="G349" s="9"/>
      <c r="H349" s="93"/>
      <c r="I349" s="47"/>
      <c r="J349" s="94"/>
      <c r="K349" s="20"/>
      <c r="L349" s="20"/>
      <c r="M349" s="20"/>
      <c r="N349" s="20"/>
      <c r="O349" s="20"/>
      <c r="P349" s="20"/>
      <c r="Q349" s="20"/>
      <c r="R349" s="20"/>
      <c r="S349" s="20"/>
      <c r="T349" s="96"/>
      <c r="U349" s="20"/>
      <c r="V349" s="11"/>
      <c r="W349" s="20"/>
      <c r="X349" s="96"/>
      <c r="Y349" s="96"/>
      <c r="Z349" s="96"/>
      <c r="AA349" s="96"/>
      <c r="AB349" s="96"/>
      <c r="AC349" s="96"/>
      <c r="AD349" s="96"/>
      <c r="AE349" s="110"/>
      <c r="AF349" s="110"/>
      <c r="AG349" s="20"/>
      <c r="AH349" s="11"/>
      <c r="AI349" s="20"/>
      <c r="AJ349" s="20"/>
      <c r="AK349" s="20"/>
      <c r="AL349" s="20"/>
      <c r="AM349" s="20"/>
      <c r="AN349" s="254"/>
      <c r="AO349" s="251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96"/>
      <c r="BA349" s="11"/>
      <c r="BB349" s="11"/>
      <c r="BC349" s="96"/>
      <c r="BD349" s="20"/>
      <c r="BE349" s="96"/>
      <c r="BF349" s="20"/>
      <c r="BG349" s="20"/>
      <c r="BH349" s="20"/>
      <c r="BI349" s="20"/>
      <c r="BJ349" s="20"/>
      <c r="BK349" s="20"/>
      <c r="BL349" s="11"/>
      <c r="BM349" s="11"/>
      <c r="BN349" s="112"/>
      <c r="BO349" s="20"/>
      <c r="BP349" s="20"/>
      <c r="BQ349" s="20"/>
      <c r="BR349" s="20"/>
      <c r="BS349" s="11"/>
      <c r="BT349" s="11"/>
      <c r="BU349" s="112"/>
      <c r="BV349" s="112"/>
      <c r="BW349" s="112"/>
      <c r="BX349" s="11"/>
      <c r="BY349" s="20"/>
      <c r="BZ349" s="20"/>
      <c r="CA349" s="20"/>
      <c r="CB349" s="20"/>
      <c r="CC349" s="20"/>
      <c r="CD349" s="20"/>
      <c r="CE349" s="20"/>
      <c r="CF349" s="20"/>
      <c r="CG349" s="96"/>
      <c r="CH349" s="20"/>
      <c r="CI349" s="20"/>
      <c r="CJ349" s="20"/>
      <c r="CK349" s="20"/>
      <c r="CL349" s="20"/>
      <c r="CM349" s="20"/>
      <c r="CN349" s="11"/>
      <c r="CO349" s="20"/>
      <c r="CP349" s="20"/>
      <c r="CQ349" s="20"/>
      <c r="CR349" s="20"/>
      <c r="CS349" s="20"/>
      <c r="CT349" s="20"/>
      <c r="CU349" s="20"/>
      <c r="CV349" s="20"/>
      <c r="CW349" s="20"/>
      <c r="CX349" s="96"/>
      <c r="CY349" s="112"/>
      <c r="CZ349" s="20"/>
      <c r="DA349" s="26"/>
      <c r="DB349" s="42"/>
      <c r="DC349" s="43"/>
      <c r="DD349" s="62"/>
      <c r="DE349" s="62"/>
      <c r="DF349" s="4"/>
      <c r="DG349" s="4"/>
      <c r="DH349" s="4"/>
      <c r="DI349" s="4"/>
      <c r="DJ349" s="62"/>
      <c r="DK349" s="62"/>
      <c r="DL349" s="209"/>
      <c r="DM349" s="62"/>
      <c r="DN349" s="13"/>
      <c r="DO349" s="13"/>
      <c r="DP349" s="53"/>
      <c r="DQ349" s="43"/>
      <c r="DR349" s="4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</row>
    <row r="350" spans="1:137" x14ac:dyDescent="0.2">
      <c r="A350" s="102"/>
      <c r="B350" s="189"/>
      <c r="C350" s="19"/>
      <c r="D350" s="19"/>
      <c r="E350" s="82"/>
      <c r="F350" s="82"/>
      <c r="G350" s="9"/>
      <c r="H350" s="93"/>
      <c r="I350" s="47"/>
      <c r="J350" s="94"/>
      <c r="K350" s="112"/>
      <c r="L350" s="112"/>
      <c r="M350" s="112"/>
      <c r="N350" s="112"/>
      <c r="O350" s="112"/>
      <c r="P350" s="112"/>
      <c r="Q350" s="112"/>
      <c r="R350" s="112"/>
      <c r="S350" s="112"/>
      <c r="T350" s="96"/>
      <c r="U350" s="112"/>
      <c r="V350" s="96"/>
      <c r="W350" s="112"/>
      <c r="X350" s="96"/>
      <c r="Y350" s="96"/>
      <c r="Z350" s="96"/>
      <c r="AA350" s="96"/>
      <c r="AB350" s="96"/>
      <c r="AC350" s="96"/>
      <c r="AD350" s="96"/>
      <c r="AE350" s="110"/>
      <c r="AF350" s="110"/>
      <c r="AG350" s="112"/>
      <c r="AH350" s="96"/>
      <c r="AI350" s="112"/>
      <c r="AJ350" s="112"/>
      <c r="AK350" s="112"/>
      <c r="AL350" s="112"/>
      <c r="AM350" s="112"/>
      <c r="AN350" s="255"/>
      <c r="AO350" s="251"/>
      <c r="AP350" s="96"/>
      <c r="AQ350" s="112"/>
      <c r="AR350" s="96"/>
      <c r="AS350" s="112"/>
      <c r="AT350" s="96"/>
      <c r="AU350" s="112"/>
      <c r="AV350" s="112"/>
      <c r="AW350" s="112"/>
      <c r="AX350" s="112"/>
      <c r="AY350" s="112"/>
      <c r="AZ350" s="96"/>
      <c r="BA350" s="11"/>
      <c r="BB350" s="11"/>
      <c r="BC350" s="96"/>
      <c r="BD350" s="112"/>
      <c r="BE350" s="96"/>
      <c r="BF350" s="112"/>
      <c r="BG350" s="112"/>
      <c r="BH350" s="112"/>
      <c r="BI350" s="112"/>
      <c r="BJ350" s="112"/>
      <c r="BK350" s="112"/>
      <c r="BL350" s="96"/>
      <c r="BM350" s="96"/>
      <c r="BN350" s="112"/>
      <c r="BO350" s="112"/>
      <c r="BP350" s="112"/>
      <c r="BQ350" s="112"/>
      <c r="BR350" s="112"/>
      <c r="BS350" s="96"/>
      <c r="BT350" s="96"/>
      <c r="BU350" s="112"/>
      <c r="BV350" s="112"/>
      <c r="BW350" s="112"/>
      <c r="BX350" s="96"/>
      <c r="BY350" s="112"/>
      <c r="BZ350" s="112"/>
      <c r="CA350" s="112"/>
      <c r="CB350" s="112"/>
      <c r="CC350" s="112"/>
      <c r="CD350" s="112"/>
      <c r="CE350" s="112"/>
      <c r="CF350" s="112"/>
      <c r="CG350" s="96"/>
      <c r="CH350" s="112"/>
      <c r="CI350" s="112"/>
      <c r="CJ350" s="112"/>
      <c r="CK350" s="112"/>
      <c r="CL350" s="112"/>
      <c r="CM350" s="112"/>
      <c r="CN350" s="96"/>
      <c r="CO350" s="112"/>
      <c r="CP350" s="112"/>
      <c r="CQ350" s="112"/>
      <c r="CR350" s="112"/>
      <c r="CS350" s="112"/>
      <c r="CT350" s="112"/>
      <c r="CU350" s="112"/>
      <c r="CV350" s="112"/>
      <c r="CW350" s="112"/>
      <c r="CX350" s="96"/>
      <c r="CY350" s="112"/>
      <c r="CZ350" s="112"/>
      <c r="DA350" s="26"/>
      <c r="DB350" s="42"/>
      <c r="DC350" s="43"/>
      <c r="DD350" s="62"/>
      <c r="DE350" s="62"/>
      <c r="DF350" s="4"/>
      <c r="DG350" s="4"/>
      <c r="DH350" s="4"/>
      <c r="DI350" s="4"/>
      <c r="DJ350" s="62"/>
      <c r="DK350" s="62"/>
      <c r="DL350" s="209"/>
      <c r="DM350" s="62"/>
      <c r="DN350" s="13"/>
      <c r="DO350" s="13"/>
      <c r="DP350" s="53"/>
      <c r="DQ350" s="43"/>
      <c r="DR350" s="4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</row>
    <row r="351" spans="1:137" x14ac:dyDescent="0.2">
      <c r="A351" s="102"/>
      <c r="B351" s="148"/>
      <c r="C351" s="19"/>
      <c r="D351" s="19"/>
      <c r="E351" s="82"/>
      <c r="F351" s="82"/>
      <c r="G351" s="9"/>
      <c r="H351" s="93"/>
      <c r="I351" s="47"/>
      <c r="J351" s="94"/>
      <c r="K351" s="20"/>
      <c r="L351" s="20"/>
      <c r="M351" s="20"/>
      <c r="N351" s="20"/>
      <c r="O351" s="20"/>
      <c r="P351" s="20"/>
      <c r="Q351" s="20"/>
      <c r="R351" s="20"/>
      <c r="S351" s="20"/>
      <c r="T351" s="96"/>
      <c r="U351" s="20"/>
      <c r="V351" s="11"/>
      <c r="W351" s="20"/>
      <c r="X351" s="96"/>
      <c r="Y351" s="96"/>
      <c r="Z351" s="96"/>
      <c r="AA351" s="96"/>
      <c r="AB351" s="96"/>
      <c r="AC351" s="96"/>
      <c r="AD351" s="96"/>
      <c r="AE351" s="110"/>
      <c r="AF351" s="110"/>
      <c r="AG351" s="20"/>
      <c r="AH351" s="11"/>
      <c r="AI351" s="20"/>
      <c r="AJ351" s="20"/>
      <c r="AK351" s="20"/>
      <c r="AL351" s="20"/>
      <c r="AM351" s="20"/>
      <c r="AN351" s="254"/>
      <c r="AO351" s="251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96"/>
      <c r="BA351" s="11"/>
      <c r="BB351" s="11"/>
      <c r="BC351" s="96"/>
      <c r="BD351" s="20"/>
      <c r="BE351" s="96"/>
      <c r="BF351" s="20"/>
      <c r="BG351" s="20"/>
      <c r="BH351" s="20"/>
      <c r="BI351" s="20"/>
      <c r="BJ351" s="20"/>
      <c r="BK351" s="20"/>
      <c r="BL351" s="11"/>
      <c r="BM351" s="96"/>
      <c r="BN351" s="112"/>
      <c r="BO351" s="20"/>
      <c r="BP351" s="20"/>
      <c r="BQ351" s="20"/>
      <c r="BR351" s="20"/>
      <c r="BS351" s="11"/>
      <c r="BT351" s="11"/>
      <c r="BU351" s="112"/>
      <c r="BV351" s="112"/>
      <c r="BW351" s="112"/>
      <c r="BX351" s="11"/>
      <c r="BY351" s="20"/>
      <c r="BZ351" s="20"/>
      <c r="CA351" s="20"/>
      <c r="CB351" s="20"/>
      <c r="CC351" s="20"/>
      <c r="CD351" s="20"/>
      <c r="CE351" s="20"/>
      <c r="CF351" s="20"/>
      <c r="CG351" s="96"/>
      <c r="CH351" s="20"/>
      <c r="CI351" s="20"/>
      <c r="CJ351" s="20"/>
      <c r="CK351" s="20"/>
      <c r="CL351" s="20"/>
      <c r="CM351" s="20"/>
      <c r="CN351" s="11"/>
      <c r="CO351" s="20"/>
      <c r="CP351" s="20"/>
      <c r="CQ351" s="20"/>
      <c r="CR351" s="20"/>
      <c r="CS351" s="20"/>
      <c r="CT351" s="20"/>
      <c r="CU351" s="20"/>
      <c r="CV351" s="20"/>
      <c r="CW351" s="20"/>
      <c r="CX351" s="96"/>
      <c r="CY351" s="112"/>
      <c r="CZ351" s="20"/>
      <c r="DA351" s="26"/>
      <c r="DB351" s="53"/>
      <c r="DC351" s="68"/>
      <c r="DD351" s="62"/>
      <c r="DE351" s="209"/>
      <c r="DF351" s="115"/>
      <c r="DG351" s="4"/>
      <c r="DH351" s="115"/>
      <c r="DI351" s="115"/>
      <c r="DJ351" s="62"/>
      <c r="DK351" s="62"/>
      <c r="DL351" s="209"/>
      <c r="DM351" s="62"/>
      <c r="DN351" s="13"/>
      <c r="DO351" s="13"/>
      <c r="DP351" s="53"/>
      <c r="DQ351" s="43"/>
      <c r="DR351" s="4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</row>
    <row r="352" spans="1:137" x14ac:dyDescent="0.2">
      <c r="A352" s="102"/>
      <c r="B352" s="148"/>
      <c r="C352" s="19"/>
      <c r="D352" s="19"/>
      <c r="E352" s="82"/>
      <c r="F352" s="82"/>
      <c r="G352" s="9"/>
      <c r="H352" s="93"/>
      <c r="I352" s="47"/>
      <c r="J352" s="94"/>
      <c r="K352" s="20"/>
      <c r="L352" s="20"/>
      <c r="M352" s="20"/>
      <c r="N352" s="20"/>
      <c r="O352" s="20"/>
      <c r="P352" s="20"/>
      <c r="Q352" s="20"/>
      <c r="R352" s="20"/>
      <c r="S352" s="20"/>
      <c r="T352" s="96"/>
      <c r="U352" s="20"/>
      <c r="V352" s="11"/>
      <c r="W352" s="20"/>
      <c r="X352" s="96"/>
      <c r="Y352" s="96"/>
      <c r="Z352" s="96"/>
      <c r="AA352" s="96"/>
      <c r="AB352" s="96"/>
      <c r="AC352" s="96"/>
      <c r="AD352" s="96"/>
      <c r="AE352" s="110"/>
      <c r="AF352" s="110"/>
      <c r="AG352" s="20"/>
      <c r="AH352" s="11"/>
      <c r="AI352" s="20"/>
      <c r="AJ352" s="20"/>
      <c r="AK352" s="20"/>
      <c r="AL352" s="20"/>
      <c r="AM352" s="20"/>
      <c r="AN352" s="254"/>
      <c r="AO352" s="251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96"/>
      <c r="BA352" s="11"/>
      <c r="BB352" s="11"/>
      <c r="BC352" s="96"/>
      <c r="BD352" s="20"/>
      <c r="BE352" s="96"/>
      <c r="BF352" s="20"/>
      <c r="BG352" s="20"/>
      <c r="BH352" s="20"/>
      <c r="BI352" s="20"/>
      <c r="BJ352" s="20"/>
      <c r="BK352" s="20"/>
      <c r="BL352" s="11"/>
      <c r="BM352" s="11"/>
      <c r="BN352" s="112"/>
      <c r="BO352" s="20"/>
      <c r="BP352" s="20"/>
      <c r="BQ352" s="20"/>
      <c r="BR352" s="112"/>
      <c r="BS352" s="11"/>
      <c r="BT352" s="96"/>
      <c r="BU352" s="112"/>
      <c r="BV352" s="112"/>
      <c r="BW352" s="112"/>
      <c r="BX352" s="11"/>
      <c r="BY352" s="20"/>
      <c r="BZ352" s="20"/>
      <c r="CA352" s="20"/>
      <c r="CB352" s="20"/>
      <c r="CC352" s="20"/>
      <c r="CD352" s="20"/>
      <c r="CE352" s="20"/>
      <c r="CF352" s="20"/>
      <c r="CG352" s="96"/>
      <c r="CH352" s="20"/>
      <c r="CI352" s="20"/>
      <c r="CJ352" s="20"/>
      <c r="CK352" s="20"/>
      <c r="CL352" s="20"/>
      <c r="CM352" s="20"/>
      <c r="CN352" s="11"/>
      <c r="CO352" s="20"/>
      <c r="CP352" s="20"/>
      <c r="CQ352" s="20"/>
      <c r="CR352" s="20"/>
      <c r="CS352" s="20"/>
      <c r="CT352" s="20"/>
      <c r="CU352" s="20"/>
      <c r="CV352" s="20"/>
      <c r="CW352" s="20"/>
      <c r="CX352" s="96"/>
      <c r="CY352" s="112"/>
      <c r="CZ352" s="20"/>
      <c r="DA352" s="26"/>
      <c r="DB352" s="53"/>
      <c r="DC352" s="68"/>
      <c r="DD352" s="62"/>
      <c r="DE352" s="209"/>
      <c r="DF352" s="115"/>
      <c r="DG352" s="4"/>
      <c r="DH352" s="115"/>
      <c r="DI352" s="115"/>
      <c r="DJ352" s="62"/>
      <c r="DK352" s="62"/>
      <c r="DL352" s="209"/>
      <c r="DM352" s="62"/>
      <c r="DN352" s="13"/>
      <c r="DO352" s="13"/>
      <c r="DP352" s="53"/>
      <c r="DQ352" s="43"/>
      <c r="DR352" s="4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</row>
    <row r="353" spans="1:137" x14ac:dyDescent="0.2">
      <c r="A353" s="102"/>
      <c r="B353" s="275"/>
      <c r="C353" s="9"/>
      <c r="D353" s="9"/>
      <c r="E353" s="82"/>
      <c r="F353" s="82"/>
      <c r="G353" s="9"/>
      <c r="H353" s="93"/>
      <c r="I353" s="46"/>
      <c r="J353" s="79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110"/>
      <c r="AF353" s="110"/>
      <c r="AG353" s="96"/>
      <c r="AH353" s="96"/>
      <c r="AI353" s="96"/>
      <c r="AJ353" s="96"/>
      <c r="AK353" s="96"/>
      <c r="AL353" s="96"/>
      <c r="AM353" s="96"/>
      <c r="AN353" s="252"/>
      <c r="AO353" s="251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11"/>
      <c r="BB353" s="11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11"/>
      <c r="BO353" s="11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11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15"/>
      <c r="DB353" s="42"/>
      <c r="DC353" s="43"/>
      <c r="DD353" s="62"/>
      <c r="DE353" s="62"/>
      <c r="DF353" s="4"/>
      <c r="DG353" s="4"/>
      <c r="DH353" s="4"/>
      <c r="DI353" s="4"/>
      <c r="DJ353" s="62"/>
      <c r="DK353" s="62"/>
      <c r="DL353" s="209"/>
      <c r="DM353" s="62"/>
      <c r="DN353" s="13"/>
      <c r="DO353" s="13"/>
      <c r="DP353" s="53"/>
      <c r="DQ353" s="43"/>
      <c r="DR353" s="4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</row>
    <row r="354" spans="1:137" x14ac:dyDescent="0.2">
      <c r="A354" s="102"/>
      <c r="B354" s="275"/>
      <c r="C354" s="9"/>
      <c r="D354" s="9"/>
      <c r="E354" s="82"/>
      <c r="F354" s="82"/>
      <c r="G354" s="9"/>
      <c r="H354" s="93"/>
      <c r="I354" s="46"/>
      <c r="J354" s="79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109"/>
      <c r="W354" s="96"/>
      <c r="X354" s="96"/>
      <c r="Y354" s="96"/>
      <c r="Z354" s="96"/>
      <c r="AA354" s="96"/>
      <c r="AB354" s="96"/>
      <c r="AC354" s="96"/>
      <c r="AD354" s="96"/>
      <c r="AE354" s="110"/>
      <c r="AF354" s="110"/>
      <c r="AG354" s="96"/>
      <c r="AH354" s="96"/>
      <c r="AI354" s="96"/>
      <c r="AJ354" s="96"/>
      <c r="AK354" s="96"/>
      <c r="AL354" s="96"/>
      <c r="AM354" s="96"/>
      <c r="AN354" s="252"/>
      <c r="AO354" s="251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11"/>
      <c r="BB354" s="11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15"/>
      <c r="DB354" s="42"/>
      <c r="DC354" s="43"/>
      <c r="DD354" s="62"/>
      <c r="DE354" s="62"/>
      <c r="DF354" s="4"/>
      <c r="DG354" s="4"/>
      <c r="DH354" s="4"/>
      <c r="DI354" s="4"/>
      <c r="DJ354" s="62"/>
      <c r="DK354" s="62"/>
      <c r="DL354" s="209"/>
      <c r="DM354" s="62"/>
      <c r="DN354" s="13"/>
      <c r="DO354" s="13"/>
      <c r="DP354" s="53"/>
      <c r="DQ354" s="43"/>
      <c r="DR354" s="4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</row>
    <row r="355" spans="1:137" x14ac:dyDescent="0.2">
      <c r="A355" s="102"/>
      <c r="B355" s="275"/>
      <c r="C355" s="9"/>
      <c r="D355" s="9"/>
      <c r="E355" s="82"/>
      <c r="F355" s="82"/>
      <c r="G355" s="9"/>
      <c r="H355" s="93"/>
      <c r="I355" s="46"/>
      <c r="J355" s="79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109"/>
      <c r="W355" s="96"/>
      <c r="X355" s="96"/>
      <c r="Y355" s="96"/>
      <c r="Z355" s="96"/>
      <c r="AA355" s="96"/>
      <c r="AB355" s="96"/>
      <c r="AC355" s="96"/>
      <c r="AD355" s="96"/>
      <c r="AE355" s="110"/>
      <c r="AF355" s="110"/>
      <c r="AG355" s="96"/>
      <c r="AH355" s="96"/>
      <c r="AI355" s="96"/>
      <c r="AJ355" s="96"/>
      <c r="AK355" s="96"/>
      <c r="AL355" s="96"/>
      <c r="AM355" s="96"/>
      <c r="AN355" s="252"/>
      <c r="AO355" s="251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11"/>
      <c r="BB355" s="11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109"/>
      <c r="DA355" s="15"/>
      <c r="DB355" s="42"/>
      <c r="DC355" s="43"/>
      <c r="DD355" s="62"/>
      <c r="DE355" s="62"/>
      <c r="DF355" s="4"/>
      <c r="DG355" s="4"/>
      <c r="DH355" s="4"/>
      <c r="DI355" s="4"/>
      <c r="DJ355" s="62"/>
      <c r="DK355" s="62"/>
      <c r="DL355" s="209"/>
      <c r="DM355" s="62"/>
      <c r="DN355" s="13"/>
      <c r="DO355" s="13"/>
      <c r="DP355" s="53"/>
      <c r="DQ355" s="43"/>
      <c r="DR355" s="4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</row>
    <row r="356" spans="1:137" x14ac:dyDescent="0.2">
      <c r="A356" s="102"/>
      <c r="B356" s="245"/>
      <c r="C356" s="9"/>
      <c r="D356" s="9"/>
      <c r="E356" s="82"/>
      <c r="F356" s="82"/>
      <c r="G356" s="9"/>
      <c r="H356" s="93"/>
      <c r="I356" s="46"/>
      <c r="J356" s="79"/>
      <c r="K356" s="11"/>
      <c r="L356" s="11"/>
      <c r="M356" s="11"/>
      <c r="N356" s="11"/>
      <c r="O356" s="11"/>
      <c r="P356" s="11"/>
      <c r="Q356" s="11"/>
      <c r="R356" s="11"/>
      <c r="S356" s="11"/>
      <c r="T356" s="96"/>
      <c r="U356" s="11"/>
      <c r="V356" s="11"/>
      <c r="W356" s="11"/>
      <c r="X356" s="96"/>
      <c r="Y356" s="96"/>
      <c r="Z356" s="96"/>
      <c r="AA356" s="96"/>
      <c r="AB356" s="96"/>
      <c r="AC356" s="96"/>
      <c r="AD356" s="96"/>
      <c r="AE356" s="110"/>
      <c r="AF356" s="110"/>
      <c r="AG356" s="11"/>
      <c r="AH356" s="11"/>
      <c r="AI356" s="11"/>
      <c r="AJ356" s="11"/>
      <c r="AK356" s="11"/>
      <c r="AL356" s="11"/>
      <c r="AM356" s="11"/>
      <c r="AN356" s="250"/>
      <c r="AO356" s="251"/>
      <c r="AP356" s="11"/>
      <c r="AQ356" s="11"/>
      <c r="AR356" s="11"/>
      <c r="AS356" s="11"/>
      <c r="AT356" s="11"/>
      <c r="AU356" s="11"/>
      <c r="AV356" s="11"/>
      <c r="AW356" s="11"/>
      <c r="AX356" s="96"/>
      <c r="AY356" s="96"/>
      <c r="AZ356" s="96"/>
      <c r="BA356" s="11"/>
      <c r="BB356" s="11"/>
      <c r="BC356" s="96"/>
      <c r="BD356" s="11"/>
      <c r="BE356" s="96"/>
      <c r="BF356" s="11"/>
      <c r="BG356" s="11"/>
      <c r="BH356" s="11"/>
      <c r="BI356" s="11"/>
      <c r="BJ356" s="11"/>
      <c r="BK356" s="11"/>
      <c r="BL356" s="11"/>
      <c r="BM356" s="11"/>
      <c r="BN356" s="96"/>
      <c r="BO356" s="11"/>
      <c r="BP356" s="11"/>
      <c r="BQ356" s="11"/>
      <c r="BR356" s="96"/>
      <c r="BS356" s="11"/>
      <c r="BT356" s="96"/>
      <c r="BU356" s="96"/>
      <c r="BV356" s="96"/>
      <c r="BW356" s="96"/>
      <c r="BX356" s="11"/>
      <c r="BY356" s="11"/>
      <c r="BZ356" s="11"/>
      <c r="CA356" s="11"/>
      <c r="CB356" s="11"/>
      <c r="CC356" s="11"/>
      <c r="CD356" s="11"/>
      <c r="CE356" s="11"/>
      <c r="CF356" s="11"/>
      <c r="CG356" s="96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96"/>
      <c r="CY356" s="96"/>
      <c r="CZ356" s="11"/>
      <c r="DA356" s="15"/>
      <c r="DB356" s="53"/>
      <c r="DC356" s="68"/>
      <c r="DD356" s="62"/>
      <c r="DE356" s="209"/>
      <c r="DF356" s="115"/>
      <c r="DG356" s="4"/>
      <c r="DH356" s="115"/>
      <c r="DI356" s="115"/>
      <c r="DJ356" s="62"/>
      <c r="DK356" s="62"/>
      <c r="DL356" s="209"/>
      <c r="DM356" s="62"/>
      <c r="DN356" s="13"/>
      <c r="DO356" s="13"/>
      <c r="DP356" s="53"/>
      <c r="DQ356" s="43"/>
      <c r="DR356" s="4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</row>
    <row r="357" spans="1:137" x14ac:dyDescent="0.2">
      <c r="A357" s="102"/>
      <c r="B357" s="245"/>
      <c r="C357" s="9"/>
      <c r="D357" s="9"/>
      <c r="E357" s="82"/>
      <c r="F357" s="82"/>
      <c r="G357" s="9"/>
      <c r="H357" s="93"/>
      <c r="I357" s="46"/>
      <c r="J357" s="79"/>
      <c r="K357" s="11"/>
      <c r="L357" s="11"/>
      <c r="M357" s="11"/>
      <c r="N357" s="11"/>
      <c r="O357" s="11"/>
      <c r="P357" s="11"/>
      <c r="Q357" s="11"/>
      <c r="R357" s="11"/>
      <c r="S357" s="11"/>
      <c r="T357" s="96"/>
      <c r="U357" s="11"/>
      <c r="V357" s="11"/>
      <c r="W357" s="11"/>
      <c r="X357" s="96"/>
      <c r="Y357" s="96"/>
      <c r="Z357" s="96"/>
      <c r="AA357" s="96"/>
      <c r="AB357" s="96"/>
      <c r="AC357" s="96"/>
      <c r="AD357" s="96"/>
      <c r="AE357" s="110"/>
      <c r="AF357" s="110"/>
      <c r="AG357" s="11"/>
      <c r="AH357" s="11"/>
      <c r="AI357" s="11"/>
      <c r="AJ357" s="11"/>
      <c r="AK357" s="11"/>
      <c r="AL357" s="11"/>
      <c r="AM357" s="11"/>
      <c r="AN357" s="250"/>
      <c r="AO357" s="251"/>
      <c r="AP357" s="11"/>
      <c r="AQ357" s="11"/>
      <c r="AR357" s="11"/>
      <c r="AS357" s="11"/>
      <c r="AT357" s="11"/>
      <c r="AU357" s="11"/>
      <c r="AV357" s="11"/>
      <c r="AW357" s="11"/>
      <c r="AX357" s="96"/>
      <c r="AY357" s="11"/>
      <c r="AZ357" s="96"/>
      <c r="BA357" s="11"/>
      <c r="BB357" s="11"/>
      <c r="BC357" s="96"/>
      <c r="BD357" s="11"/>
      <c r="BE357" s="96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96"/>
      <c r="BV357" s="96"/>
      <c r="BW357" s="96"/>
      <c r="BX357" s="11"/>
      <c r="BY357" s="11"/>
      <c r="BZ357" s="11"/>
      <c r="CA357" s="11"/>
      <c r="CB357" s="11"/>
      <c r="CC357" s="11"/>
      <c r="CD357" s="11"/>
      <c r="CE357" s="11"/>
      <c r="CF357" s="11"/>
      <c r="CG357" s="96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96"/>
      <c r="CY357" s="96"/>
      <c r="CZ357" s="11"/>
      <c r="DA357" s="15"/>
      <c r="DB357" s="42"/>
      <c r="DC357" s="43"/>
      <c r="DD357" s="62"/>
      <c r="DE357" s="62"/>
      <c r="DF357" s="4"/>
      <c r="DG357" s="4"/>
      <c r="DH357" s="4"/>
      <c r="DI357" s="4"/>
      <c r="DJ357" s="62"/>
      <c r="DK357" s="62"/>
      <c r="DL357" s="209"/>
      <c r="DM357" s="62"/>
      <c r="DN357" s="13"/>
      <c r="DO357" s="13"/>
      <c r="DP357" s="53"/>
      <c r="DQ357" s="83"/>
      <c r="DR357" s="43">
        <f>COUNTIF($DR$4:$DR$77,"VT")</f>
        <v>0</v>
      </c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</row>
    <row r="358" spans="1:137" x14ac:dyDescent="0.2">
      <c r="A358" s="102"/>
      <c r="B358" s="245"/>
      <c r="C358" s="9"/>
      <c r="D358" s="9"/>
      <c r="E358" s="82"/>
      <c r="F358" s="82"/>
      <c r="G358" s="9"/>
      <c r="H358" s="93"/>
      <c r="I358" s="46"/>
      <c r="J358" s="79"/>
      <c r="K358" s="11"/>
      <c r="L358" s="11"/>
      <c r="M358" s="11"/>
      <c r="N358" s="11"/>
      <c r="O358" s="11"/>
      <c r="P358" s="11"/>
      <c r="Q358" s="11"/>
      <c r="R358" s="11"/>
      <c r="S358" s="11"/>
      <c r="T358" s="96"/>
      <c r="U358" s="11"/>
      <c r="V358" s="11"/>
      <c r="W358" s="11"/>
      <c r="X358" s="96"/>
      <c r="Y358" s="96"/>
      <c r="Z358" s="96"/>
      <c r="AA358" s="96"/>
      <c r="AB358" s="96"/>
      <c r="AC358" s="96"/>
      <c r="AD358" s="96"/>
      <c r="AE358" s="110"/>
      <c r="AF358" s="110"/>
      <c r="AG358" s="11"/>
      <c r="AH358" s="11"/>
      <c r="AI358" s="11"/>
      <c r="AJ358" s="11"/>
      <c r="AK358" s="11"/>
      <c r="AL358" s="11"/>
      <c r="AM358" s="11"/>
      <c r="AN358" s="250"/>
      <c r="AO358" s="251"/>
      <c r="AP358" s="96"/>
      <c r="AQ358" s="11"/>
      <c r="AR358" s="96"/>
      <c r="AS358" s="11"/>
      <c r="AT358" s="96"/>
      <c r="AU358" s="11"/>
      <c r="AV358" s="11"/>
      <c r="AW358" s="96"/>
      <c r="AX358" s="11"/>
      <c r="AY358" s="11"/>
      <c r="AZ358" s="96"/>
      <c r="BA358" s="11"/>
      <c r="BB358" s="11"/>
      <c r="BC358" s="96"/>
      <c r="BD358" s="11"/>
      <c r="BE358" s="96"/>
      <c r="BF358" s="11"/>
      <c r="BG358" s="11"/>
      <c r="BH358" s="11"/>
      <c r="BI358" s="11"/>
      <c r="BJ358" s="11"/>
      <c r="BK358" s="11"/>
      <c r="BL358" s="11"/>
      <c r="BM358" s="11"/>
      <c r="BN358" s="96"/>
      <c r="BO358" s="11"/>
      <c r="BP358" s="11"/>
      <c r="BQ358" s="11"/>
      <c r="BR358" s="11"/>
      <c r="BS358" s="11"/>
      <c r="BT358" s="11"/>
      <c r="BU358" s="96"/>
      <c r="BV358" s="11"/>
      <c r="BW358" s="96"/>
      <c r="BX358" s="11"/>
      <c r="BY358" s="11"/>
      <c r="BZ358" s="11"/>
      <c r="CA358" s="11"/>
      <c r="CB358" s="11"/>
      <c r="CC358" s="11"/>
      <c r="CD358" s="11"/>
      <c r="CE358" s="11"/>
      <c r="CF358" s="11"/>
      <c r="CG358" s="96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96"/>
      <c r="CY358" s="96"/>
      <c r="CZ358" s="11"/>
      <c r="DA358" s="15"/>
      <c r="DB358" s="53"/>
      <c r="DC358" s="68"/>
      <c r="DD358" s="62"/>
      <c r="DE358" s="209"/>
      <c r="DF358" s="115"/>
      <c r="DG358" s="115"/>
      <c r="DH358" s="115"/>
      <c r="DI358" s="115"/>
      <c r="DJ358" s="62"/>
      <c r="DK358" s="62"/>
      <c r="DL358" s="209"/>
      <c r="DM358" s="209"/>
      <c r="DN358" s="54"/>
      <c r="DO358" s="13"/>
      <c r="DP358" s="53"/>
      <c r="DQ358" s="83"/>
      <c r="DR358" s="43">
        <f>COUNTIF($DR$4:$DR$77,"MN")</f>
        <v>0</v>
      </c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</row>
    <row r="359" spans="1:137" x14ac:dyDescent="0.2">
      <c r="A359" s="102"/>
      <c r="B359" s="245"/>
      <c r="C359" s="11"/>
      <c r="D359" s="11"/>
      <c r="E359" s="20"/>
      <c r="F359" s="20"/>
      <c r="G359" s="9"/>
      <c r="H359" s="15"/>
      <c r="I359" s="46"/>
      <c r="J359" s="79"/>
      <c r="K359" s="11"/>
      <c r="L359" s="11"/>
      <c r="M359" s="11"/>
      <c r="N359" s="11"/>
      <c r="O359" s="11"/>
      <c r="P359" s="96"/>
      <c r="Q359" s="11"/>
      <c r="R359" s="11"/>
      <c r="S359" s="11"/>
      <c r="T359" s="11"/>
      <c r="U359" s="96"/>
      <c r="V359" s="11"/>
      <c r="W359" s="96"/>
      <c r="X359" s="96"/>
      <c r="Y359" s="11"/>
      <c r="Z359" s="11"/>
      <c r="AA359" s="96"/>
      <c r="AB359" s="11"/>
      <c r="AC359" s="11"/>
      <c r="AD359" s="11"/>
      <c r="AE359" s="79"/>
      <c r="AF359" s="79"/>
      <c r="AG359" s="11"/>
      <c r="AH359" s="11"/>
      <c r="AI359" s="96"/>
      <c r="AJ359" s="11"/>
      <c r="AK359" s="11"/>
      <c r="AL359" s="11"/>
      <c r="AM359" s="11"/>
      <c r="AN359" s="250"/>
      <c r="AO359" s="253"/>
      <c r="AP359" s="96"/>
      <c r="AQ359" s="96"/>
      <c r="AR359" s="96"/>
      <c r="AS359" s="11"/>
      <c r="AT359" s="96"/>
      <c r="AU359" s="11"/>
      <c r="AV359" s="11"/>
      <c r="AW359" s="11"/>
      <c r="AX359" s="11"/>
      <c r="AY359" s="11"/>
      <c r="AZ359" s="11"/>
      <c r="BA359" s="11"/>
      <c r="BB359" s="96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96"/>
      <c r="BT359" s="96"/>
      <c r="BU359" s="11"/>
      <c r="BV359" s="11"/>
      <c r="BW359" s="8"/>
      <c r="BX359" s="9"/>
      <c r="BY359" s="10"/>
      <c r="BZ359" s="10"/>
      <c r="CA359" s="277"/>
      <c r="CB359" s="277"/>
      <c r="CC359" s="277"/>
      <c r="CD359" s="277"/>
      <c r="CE359" s="10"/>
      <c r="CF359" s="10"/>
      <c r="CG359" s="10"/>
      <c r="CH359" s="10"/>
      <c r="CI359" s="278"/>
      <c r="CJ359" s="96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96"/>
      <c r="CZ359" s="11"/>
      <c r="DA359" s="15"/>
      <c r="DB359" s="42"/>
      <c r="DC359" s="43"/>
      <c r="DD359" s="62"/>
      <c r="DE359" s="62"/>
      <c r="DF359" s="4"/>
      <c r="DG359" s="4"/>
      <c r="DH359" s="4"/>
      <c r="DI359" s="4"/>
      <c r="DJ359" s="62"/>
      <c r="DK359" s="62"/>
      <c r="DL359" s="209"/>
      <c r="DM359" s="62"/>
      <c r="DN359" s="13"/>
      <c r="DO359" s="13"/>
      <c r="DP359" s="53"/>
      <c r="DQ359" s="83"/>
      <c r="DR359" s="43">
        <f>COUNTIF($DR$4:$DR$77,"CO")</f>
        <v>0</v>
      </c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</row>
    <row r="360" spans="1:137" x14ac:dyDescent="0.2">
      <c r="A360" s="102"/>
      <c r="B360" s="245"/>
      <c r="C360" s="9"/>
      <c r="D360" s="9"/>
      <c r="E360" s="82"/>
      <c r="F360" s="82"/>
      <c r="G360" s="9"/>
      <c r="H360" s="93"/>
      <c r="I360" s="46"/>
      <c r="J360" s="79"/>
      <c r="K360" s="11"/>
      <c r="L360" s="11"/>
      <c r="M360" s="11"/>
      <c r="N360" s="11"/>
      <c r="O360" s="11"/>
      <c r="P360" s="11"/>
      <c r="Q360" s="11"/>
      <c r="R360" s="11"/>
      <c r="S360" s="11"/>
      <c r="T360" s="96"/>
      <c r="U360" s="11"/>
      <c r="V360" s="11"/>
      <c r="W360" s="11"/>
      <c r="X360" s="96"/>
      <c r="Y360" s="96"/>
      <c r="Z360" s="96"/>
      <c r="AA360" s="96"/>
      <c r="AB360" s="96"/>
      <c r="AC360" s="96"/>
      <c r="AD360" s="96"/>
      <c r="AE360" s="110"/>
      <c r="AF360" s="110"/>
      <c r="AG360" s="11"/>
      <c r="AH360" s="11"/>
      <c r="AI360" s="11"/>
      <c r="AJ360" s="11"/>
      <c r="AK360" s="11"/>
      <c r="AL360" s="11"/>
      <c r="AM360" s="11"/>
      <c r="AN360" s="250"/>
      <c r="AO360" s="25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96"/>
      <c r="BA360" s="11"/>
      <c r="BB360" s="11"/>
      <c r="BC360" s="96"/>
      <c r="BD360" s="11"/>
      <c r="BE360" s="96"/>
      <c r="BF360" s="11"/>
      <c r="BG360" s="11"/>
      <c r="BH360" s="11"/>
      <c r="BI360" s="11"/>
      <c r="BJ360" s="11"/>
      <c r="BK360" s="11"/>
      <c r="BL360" s="11"/>
      <c r="BM360" s="11"/>
      <c r="BN360" s="96"/>
      <c r="BO360" s="11"/>
      <c r="BP360" s="11"/>
      <c r="BQ360" s="11"/>
      <c r="BR360" s="11"/>
      <c r="BS360" s="11"/>
      <c r="BT360" s="11"/>
      <c r="BU360" s="96"/>
      <c r="BV360" s="96"/>
      <c r="BW360" s="96"/>
      <c r="BX360" s="11"/>
      <c r="BY360" s="11"/>
      <c r="BZ360" s="11"/>
      <c r="CA360" s="11"/>
      <c r="CB360" s="11"/>
      <c r="CC360" s="11"/>
      <c r="CD360" s="11"/>
      <c r="CE360" s="11"/>
      <c r="CF360" s="11"/>
      <c r="CG360" s="96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96"/>
      <c r="CY360" s="96"/>
      <c r="CZ360" s="11"/>
      <c r="DA360" s="15"/>
      <c r="DB360" s="42"/>
      <c r="DC360" s="43"/>
      <c r="DD360" s="62"/>
      <c r="DE360" s="62"/>
      <c r="DF360" s="4"/>
      <c r="DG360" s="4"/>
      <c r="DH360" s="4"/>
      <c r="DI360" s="4"/>
      <c r="DJ360" s="62"/>
      <c r="DK360" s="62"/>
      <c r="DL360" s="209"/>
      <c r="DM360" s="62"/>
      <c r="DN360" s="13"/>
      <c r="DO360" s="13"/>
      <c r="DP360" s="53"/>
      <c r="DQ360" s="83"/>
      <c r="DR360" s="43">
        <f>COUNTIF($DR$4:$DR$77,"WA")</f>
        <v>0</v>
      </c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</row>
    <row r="361" spans="1:137" x14ac:dyDescent="0.2">
      <c r="A361" s="102"/>
      <c r="B361" s="245"/>
      <c r="C361" s="9"/>
      <c r="D361" s="9"/>
      <c r="E361" s="82"/>
      <c r="F361" s="82"/>
      <c r="G361" s="9"/>
      <c r="H361" s="93"/>
      <c r="I361" s="46"/>
      <c r="J361" s="79"/>
      <c r="K361" s="11"/>
      <c r="L361" s="11"/>
      <c r="M361" s="11"/>
      <c r="N361" s="11"/>
      <c r="O361" s="11"/>
      <c r="P361" s="11"/>
      <c r="Q361" s="11"/>
      <c r="R361" s="11"/>
      <c r="S361" s="11"/>
      <c r="T361" s="96"/>
      <c r="U361" s="11"/>
      <c r="V361" s="11"/>
      <c r="W361" s="11"/>
      <c r="X361" s="96"/>
      <c r="Y361" s="96"/>
      <c r="Z361" s="96"/>
      <c r="AA361" s="96"/>
      <c r="AB361" s="96"/>
      <c r="AC361" s="96"/>
      <c r="AD361" s="96"/>
      <c r="AE361" s="79"/>
      <c r="AF361" s="79"/>
      <c r="AG361" s="11"/>
      <c r="AH361" s="11"/>
      <c r="AI361" s="11"/>
      <c r="AJ361" s="11"/>
      <c r="AK361" s="11"/>
      <c r="AL361" s="11"/>
      <c r="AM361" s="11"/>
      <c r="AN361" s="250"/>
      <c r="AO361" s="25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96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96"/>
      <c r="BO361" s="11"/>
      <c r="BP361" s="11"/>
      <c r="BQ361" s="11"/>
      <c r="BR361" s="11"/>
      <c r="BS361" s="11"/>
      <c r="BT361" s="11"/>
      <c r="BU361" s="96"/>
      <c r="BV361" s="96"/>
      <c r="BW361" s="96"/>
      <c r="BX361" s="11"/>
      <c r="BY361" s="11"/>
      <c r="BZ361" s="11"/>
      <c r="CA361" s="11"/>
      <c r="CB361" s="11"/>
      <c r="CC361" s="11"/>
      <c r="CD361" s="11"/>
      <c r="CE361" s="11"/>
      <c r="CF361" s="11"/>
      <c r="CG361" s="96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96"/>
      <c r="CY361" s="96"/>
      <c r="CZ361" s="11"/>
      <c r="DA361" s="15"/>
      <c r="DB361" s="42"/>
      <c r="DC361" s="43"/>
      <c r="DD361" s="62"/>
      <c r="DE361" s="62"/>
      <c r="DF361" s="4"/>
      <c r="DG361" s="4"/>
      <c r="DH361" s="4"/>
      <c r="DI361" s="4"/>
      <c r="DJ361" s="62"/>
      <c r="DK361" s="62"/>
      <c r="DL361" s="209"/>
      <c r="DM361" s="62"/>
      <c r="DN361" s="13"/>
      <c r="DP361" s="53"/>
      <c r="DQ361" s="83"/>
      <c r="DR361" s="43">
        <f>COUNTIF($DR$4:$DR$77,"ME")</f>
        <v>0</v>
      </c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</row>
    <row r="362" spans="1:137" x14ac:dyDescent="0.2">
      <c r="A362" s="102"/>
      <c r="B362" s="273"/>
      <c r="C362" s="9"/>
      <c r="D362" s="9"/>
      <c r="E362" s="82"/>
      <c r="F362" s="82"/>
      <c r="G362" s="9"/>
      <c r="H362" s="93"/>
      <c r="I362" s="46"/>
      <c r="J362" s="79"/>
      <c r="K362" s="11"/>
      <c r="L362" s="11"/>
      <c r="M362" s="11"/>
      <c r="N362" s="11"/>
      <c r="O362" s="11"/>
      <c r="P362" s="11"/>
      <c r="Q362" s="11"/>
      <c r="R362" s="11"/>
      <c r="S362" s="96"/>
      <c r="T362" s="11"/>
      <c r="U362" s="11"/>
      <c r="V362" s="11"/>
      <c r="W362" s="11"/>
      <c r="X362" s="96"/>
      <c r="Y362" s="11"/>
      <c r="Z362" s="11"/>
      <c r="AA362" s="96"/>
      <c r="AB362" s="11"/>
      <c r="AC362" s="11"/>
      <c r="AD362" s="96"/>
      <c r="AE362" s="79"/>
      <c r="AF362" s="79"/>
      <c r="AG362" s="11"/>
      <c r="AH362" s="11"/>
      <c r="AI362" s="11"/>
      <c r="AJ362" s="11"/>
      <c r="AK362" s="11"/>
      <c r="AL362" s="11"/>
      <c r="AM362" s="11"/>
      <c r="AN362" s="250"/>
      <c r="AO362" s="251"/>
      <c r="AP362" s="11"/>
      <c r="AQ362" s="96"/>
      <c r="AR362" s="11"/>
      <c r="AS362" s="11"/>
      <c r="AT362" s="11"/>
      <c r="AU362" s="11"/>
      <c r="AV362" s="11"/>
      <c r="AW362" s="11"/>
      <c r="AX362" s="11"/>
      <c r="AY362" s="96"/>
      <c r="AZ362" s="96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96"/>
      <c r="BN362" s="11"/>
      <c r="BO362" s="96"/>
      <c r="BP362" s="11"/>
      <c r="BQ362" s="11"/>
      <c r="BR362" s="11"/>
      <c r="BS362" s="11"/>
      <c r="BT362" s="96"/>
      <c r="BU362" s="96"/>
      <c r="BV362" s="96"/>
      <c r="BW362" s="11"/>
      <c r="BX362" s="11"/>
      <c r="BY362" s="96"/>
      <c r="BZ362" s="11"/>
      <c r="CA362" s="11"/>
      <c r="CB362" s="11"/>
      <c r="CC362" s="11"/>
      <c r="CD362" s="11"/>
      <c r="CE362" s="11"/>
      <c r="CF362" s="11"/>
      <c r="CG362" s="96"/>
      <c r="CH362" s="11"/>
      <c r="CI362" s="11"/>
      <c r="CJ362" s="96"/>
      <c r="CK362" s="96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5"/>
      <c r="DB362" s="42"/>
      <c r="DC362" s="43"/>
      <c r="DD362" s="62"/>
      <c r="DE362" s="62"/>
      <c r="DF362" s="4"/>
      <c r="DG362" s="4"/>
      <c r="DH362" s="4"/>
      <c r="DI362" s="4"/>
      <c r="DJ362" s="62"/>
      <c r="DK362" s="62"/>
      <c r="DL362" s="209"/>
      <c r="DM362" s="62"/>
      <c r="DN362" s="13"/>
      <c r="DP362" s="53"/>
      <c r="DQ362" s="83"/>
      <c r="DR362" s="43">
        <f>COUNTIF($DR$4:$DR$77,"AK")</f>
        <v>0</v>
      </c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</row>
    <row r="363" spans="1:137" x14ac:dyDescent="0.2">
      <c r="A363" s="102"/>
      <c r="B363" s="245"/>
      <c r="C363" s="9"/>
      <c r="D363" s="9"/>
      <c r="E363" s="82"/>
      <c r="F363" s="82"/>
      <c r="G363" s="9"/>
      <c r="H363" s="93"/>
      <c r="I363" s="46"/>
      <c r="J363" s="79"/>
      <c r="K363" s="11"/>
      <c r="L363" s="11"/>
      <c r="M363" s="11"/>
      <c r="N363" s="11"/>
      <c r="O363" s="11"/>
      <c r="P363" s="11"/>
      <c r="Q363" s="11"/>
      <c r="R363" s="11"/>
      <c r="S363" s="11"/>
      <c r="T363" s="96"/>
      <c r="U363" s="11"/>
      <c r="V363" s="11"/>
      <c r="W363" s="11"/>
      <c r="X363" s="96"/>
      <c r="Y363" s="96"/>
      <c r="Z363" s="96"/>
      <c r="AA363" s="96"/>
      <c r="AB363" s="96"/>
      <c r="AC363" s="96"/>
      <c r="AD363" s="96"/>
      <c r="AE363" s="110"/>
      <c r="AF363" s="110"/>
      <c r="AG363" s="11"/>
      <c r="AH363" s="11"/>
      <c r="AI363" s="11"/>
      <c r="AJ363" s="11"/>
      <c r="AK363" s="11"/>
      <c r="AL363" s="11"/>
      <c r="AM363" s="11"/>
      <c r="AN363" s="250"/>
      <c r="AO363" s="251"/>
      <c r="AP363" s="11"/>
      <c r="AQ363" s="11"/>
      <c r="AR363" s="11"/>
      <c r="AS363" s="11"/>
      <c r="AT363" s="11"/>
      <c r="AU363" s="11"/>
      <c r="AV363" s="11"/>
      <c r="AW363" s="11"/>
      <c r="AX363" s="96"/>
      <c r="AY363" s="11"/>
      <c r="AZ363" s="96"/>
      <c r="BA363" s="11"/>
      <c r="BB363" s="11"/>
      <c r="BC363" s="96"/>
      <c r="BD363" s="11"/>
      <c r="BE363" s="96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96"/>
      <c r="BV363" s="96"/>
      <c r="BW363" s="96"/>
      <c r="BX363" s="11"/>
      <c r="BY363" s="11"/>
      <c r="BZ363" s="11"/>
      <c r="CA363" s="11"/>
      <c r="CB363" s="11"/>
      <c r="CC363" s="11"/>
      <c r="CD363" s="11"/>
      <c r="CE363" s="11"/>
      <c r="CF363" s="11"/>
      <c r="CG363" s="96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96"/>
      <c r="CY363" s="96"/>
      <c r="CZ363" s="11"/>
      <c r="DA363" s="15"/>
      <c r="DB363" s="53"/>
      <c r="DC363" s="68"/>
      <c r="DD363" s="62"/>
      <c r="DE363" s="209"/>
      <c r="DF363" s="115"/>
      <c r="DG363" s="115"/>
      <c r="DH363" s="115"/>
      <c r="DI363" s="115"/>
      <c r="DJ363" s="62"/>
      <c r="DK363" s="62"/>
      <c r="DL363" s="209"/>
      <c r="DM363" s="209"/>
      <c r="DN363" s="54"/>
    </row>
    <row r="364" spans="1:137" x14ac:dyDescent="0.2">
      <c r="A364" s="102"/>
      <c r="B364" s="273"/>
      <c r="C364" s="9"/>
      <c r="D364" s="9"/>
      <c r="E364" s="82"/>
      <c r="F364" s="82"/>
      <c r="G364" s="9"/>
      <c r="H364" s="93"/>
      <c r="I364" s="46"/>
      <c r="J364" s="79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  <c r="AA364" s="96"/>
      <c r="AB364" s="96"/>
      <c r="AC364" s="96"/>
      <c r="AD364" s="96"/>
      <c r="AE364" s="110"/>
      <c r="AF364" s="110"/>
      <c r="AG364" s="96"/>
      <c r="AH364" s="96"/>
      <c r="AI364" s="96"/>
      <c r="AJ364" s="96"/>
      <c r="AK364" s="96"/>
      <c r="AL364" s="96"/>
      <c r="AM364" s="96"/>
      <c r="AN364" s="252"/>
      <c r="AO364" s="251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11"/>
      <c r="BB364" s="11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15"/>
      <c r="DB364" s="53"/>
      <c r="DC364" s="68"/>
      <c r="DD364" s="62"/>
      <c r="DE364" s="209"/>
      <c r="DF364" s="115"/>
      <c r="DG364" s="4"/>
      <c r="DH364" s="115"/>
      <c r="DI364" s="115"/>
      <c r="DJ364" s="62"/>
      <c r="DK364" s="62"/>
      <c r="DL364" s="209"/>
      <c r="DM364" s="62"/>
      <c r="DN364" s="13"/>
    </row>
    <row r="365" spans="1:137" x14ac:dyDescent="0.2">
      <c r="A365" s="102"/>
      <c r="B365" s="245"/>
      <c r="C365" s="9"/>
      <c r="D365" s="9"/>
      <c r="E365" s="82"/>
      <c r="F365" s="82"/>
      <c r="G365" s="9"/>
      <c r="H365" s="93"/>
      <c r="I365" s="46"/>
      <c r="J365" s="79"/>
      <c r="K365" s="11"/>
      <c r="L365" s="11"/>
      <c r="M365" s="11"/>
      <c r="N365" s="11"/>
      <c r="O365" s="11"/>
      <c r="P365" s="11"/>
      <c r="Q365" s="11"/>
      <c r="R365" s="11"/>
      <c r="S365" s="11"/>
      <c r="T365" s="96"/>
      <c r="U365" s="11"/>
      <c r="V365" s="11"/>
      <c r="W365" s="11"/>
      <c r="X365" s="96"/>
      <c r="Y365" s="96"/>
      <c r="Z365" s="96"/>
      <c r="AA365" s="96"/>
      <c r="AB365" s="96"/>
      <c r="AC365" s="96"/>
      <c r="AD365" s="96"/>
      <c r="AE365" s="110"/>
      <c r="AF365" s="110"/>
      <c r="AG365" s="11"/>
      <c r="AH365" s="11"/>
      <c r="AI365" s="11"/>
      <c r="AJ365" s="11"/>
      <c r="AK365" s="11"/>
      <c r="AL365" s="11"/>
      <c r="AM365" s="11"/>
      <c r="AN365" s="250"/>
      <c r="AO365" s="25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96"/>
      <c r="BA365" s="11"/>
      <c r="BB365" s="11"/>
      <c r="BC365" s="96"/>
      <c r="BD365" s="11"/>
      <c r="BE365" s="96"/>
      <c r="BF365" s="11"/>
      <c r="BG365" s="11"/>
      <c r="BH365" s="11"/>
      <c r="BI365" s="11"/>
      <c r="BJ365" s="11"/>
      <c r="BK365" s="11"/>
      <c r="BL365" s="11"/>
      <c r="BM365" s="11"/>
      <c r="BN365" s="96"/>
      <c r="BO365" s="11"/>
      <c r="BP365" s="11"/>
      <c r="BQ365" s="11"/>
      <c r="BR365" s="11"/>
      <c r="BS365" s="96"/>
      <c r="BT365" s="11"/>
      <c r="BU365" s="96"/>
      <c r="BV365" s="96"/>
      <c r="BW365" s="96"/>
      <c r="BX365" s="11"/>
      <c r="BY365" s="11"/>
      <c r="BZ365" s="11"/>
      <c r="CA365" s="11"/>
      <c r="CB365" s="11"/>
      <c r="CC365" s="11"/>
      <c r="CD365" s="11"/>
      <c r="CE365" s="11"/>
      <c r="CF365" s="11"/>
      <c r="CG365" s="96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96"/>
      <c r="CY365" s="96"/>
      <c r="CZ365" s="11"/>
      <c r="DA365" s="15"/>
      <c r="DB365" s="53"/>
      <c r="DC365" s="68"/>
      <c r="DD365" s="209"/>
      <c r="DE365" s="209"/>
      <c r="DF365" s="115"/>
      <c r="DG365" s="4"/>
      <c r="DH365" s="115"/>
      <c r="DI365" s="115"/>
      <c r="DJ365" s="209"/>
      <c r="DK365" s="62"/>
      <c r="DL365" s="62"/>
      <c r="DM365" s="62"/>
      <c r="DN365" s="13"/>
    </row>
    <row r="366" spans="1:137" x14ac:dyDescent="0.2">
      <c r="A366" s="102"/>
      <c r="B366" s="245"/>
      <c r="C366" s="9"/>
      <c r="D366" s="9"/>
      <c r="E366" s="82"/>
      <c r="F366" s="82"/>
      <c r="G366" s="9"/>
      <c r="H366" s="93"/>
      <c r="I366" s="46"/>
      <c r="J366" s="79"/>
      <c r="K366" s="11"/>
      <c r="L366" s="11"/>
      <c r="M366" s="11"/>
      <c r="N366" s="11"/>
      <c r="O366" s="11"/>
      <c r="P366" s="11"/>
      <c r="Q366" s="11"/>
      <c r="R366" s="11"/>
      <c r="S366" s="11"/>
      <c r="T366" s="96"/>
      <c r="U366" s="11"/>
      <c r="V366" s="11"/>
      <c r="W366" s="11"/>
      <c r="X366" s="96"/>
      <c r="Y366" s="96"/>
      <c r="Z366" s="96"/>
      <c r="AA366" s="96"/>
      <c r="AB366" s="96"/>
      <c r="AC366" s="96"/>
      <c r="AD366" s="96"/>
      <c r="AE366" s="110"/>
      <c r="AF366" s="110"/>
      <c r="AG366" s="11"/>
      <c r="AH366" s="11"/>
      <c r="AI366" s="11"/>
      <c r="AJ366" s="11"/>
      <c r="AK366" s="11"/>
      <c r="AL366" s="11"/>
      <c r="AM366" s="11"/>
      <c r="AN366" s="250"/>
      <c r="AO366" s="25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96"/>
      <c r="BA366" s="11"/>
      <c r="BB366" s="11"/>
      <c r="BC366" s="96"/>
      <c r="BD366" s="11"/>
      <c r="BE366" s="96"/>
      <c r="BF366" s="11"/>
      <c r="BG366" s="11"/>
      <c r="BH366" s="11"/>
      <c r="BI366" s="11"/>
      <c r="BJ366" s="11"/>
      <c r="BK366" s="11"/>
      <c r="BL366" s="11"/>
      <c r="BM366" s="11"/>
      <c r="BN366" s="96"/>
      <c r="BO366" s="11"/>
      <c r="BP366" s="11"/>
      <c r="BQ366" s="11"/>
      <c r="BR366" s="11"/>
      <c r="BS366" s="96"/>
      <c r="BT366" s="11"/>
      <c r="BU366" s="96"/>
      <c r="BV366" s="96"/>
      <c r="BW366" s="96"/>
      <c r="BX366" s="11"/>
      <c r="BY366" s="11"/>
      <c r="BZ366" s="11"/>
      <c r="CA366" s="11"/>
      <c r="CB366" s="11"/>
      <c r="CC366" s="11"/>
      <c r="CD366" s="11"/>
      <c r="CE366" s="11"/>
      <c r="CF366" s="11"/>
      <c r="CG366" s="96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96"/>
      <c r="CY366" s="96"/>
      <c r="CZ366" s="11"/>
      <c r="DA366" s="15"/>
      <c r="DB366" s="53"/>
      <c r="DC366" s="68"/>
      <c r="DD366" s="209"/>
      <c r="DE366" s="209"/>
      <c r="DF366" s="115"/>
      <c r="DG366" s="4"/>
      <c r="DH366" s="115"/>
      <c r="DI366" s="115"/>
      <c r="DJ366" s="209"/>
      <c r="DK366" s="62"/>
      <c r="DL366" s="62"/>
      <c r="DM366" s="62"/>
      <c r="DN366" s="13"/>
    </row>
    <row r="367" spans="1:137" x14ac:dyDescent="0.2">
      <c r="A367" s="102"/>
      <c r="B367" s="245"/>
      <c r="C367" s="9"/>
      <c r="D367" s="9"/>
      <c r="E367" s="82"/>
      <c r="F367" s="82"/>
      <c r="G367" s="9"/>
      <c r="H367" s="93"/>
      <c r="I367" s="46"/>
      <c r="J367" s="79"/>
      <c r="K367" s="11"/>
      <c r="L367" s="11"/>
      <c r="M367" s="11"/>
      <c r="N367" s="11"/>
      <c r="O367" s="11"/>
      <c r="P367" s="11"/>
      <c r="Q367" s="11"/>
      <c r="R367" s="11"/>
      <c r="S367" s="11"/>
      <c r="T367" s="96"/>
      <c r="U367" s="11"/>
      <c r="V367" s="11"/>
      <c r="W367" s="11"/>
      <c r="X367" s="96"/>
      <c r="Y367" s="96"/>
      <c r="Z367" s="96"/>
      <c r="AA367" s="96"/>
      <c r="AB367" s="96"/>
      <c r="AC367" s="96"/>
      <c r="AD367" s="96"/>
      <c r="AE367" s="110"/>
      <c r="AF367" s="110"/>
      <c r="AG367" s="11"/>
      <c r="AH367" s="11"/>
      <c r="AI367" s="11"/>
      <c r="AJ367" s="11"/>
      <c r="AK367" s="11"/>
      <c r="AL367" s="11"/>
      <c r="AM367" s="11"/>
      <c r="AN367" s="250"/>
      <c r="AO367" s="25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96"/>
      <c r="BA367" s="11"/>
      <c r="BB367" s="11"/>
      <c r="BC367" s="96"/>
      <c r="BD367" s="11"/>
      <c r="BE367" s="96"/>
      <c r="BF367" s="11"/>
      <c r="BG367" s="11"/>
      <c r="BH367" s="11"/>
      <c r="BI367" s="11"/>
      <c r="BJ367" s="11"/>
      <c r="BK367" s="11"/>
      <c r="BL367" s="11"/>
      <c r="BM367" s="11"/>
      <c r="BN367" s="96"/>
      <c r="BO367" s="11"/>
      <c r="BP367" s="11"/>
      <c r="BQ367" s="11"/>
      <c r="BR367" s="11"/>
      <c r="BS367" s="96"/>
      <c r="BT367" s="11"/>
      <c r="BU367" s="96"/>
      <c r="BV367" s="96"/>
      <c r="BW367" s="96"/>
      <c r="BX367" s="11"/>
      <c r="BY367" s="11"/>
      <c r="BZ367" s="11"/>
      <c r="CA367" s="11"/>
      <c r="CB367" s="11"/>
      <c r="CC367" s="11"/>
      <c r="CD367" s="11"/>
      <c r="CE367" s="11"/>
      <c r="CF367" s="11"/>
      <c r="CG367" s="96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96"/>
      <c r="CY367" s="96"/>
      <c r="CZ367" s="11"/>
      <c r="DA367" s="15"/>
      <c r="DB367" s="53"/>
      <c r="DC367" s="68"/>
      <c r="DD367" s="209"/>
      <c r="DE367" s="209"/>
      <c r="DF367" s="115"/>
      <c r="DG367" s="4"/>
      <c r="DH367" s="115"/>
      <c r="DI367" s="115"/>
      <c r="DJ367" s="209"/>
      <c r="DK367" s="62"/>
      <c r="DL367" s="62"/>
      <c r="DM367" s="62"/>
      <c r="DN367" s="13"/>
    </row>
    <row r="368" spans="1:137" x14ac:dyDescent="0.2">
      <c r="A368" s="102"/>
      <c r="B368" s="245"/>
      <c r="C368" s="9"/>
      <c r="D368" s="9"/>
      <c r="E368" s="82"/>
      <c r="F368" s="82"/>
      <c r="G368" s="9"/>
      <c r="H368" s="93"/>
      <c r="I368" s="46"/>
      <c r="J368" s="79"/>
      <c r="K368" s="11"/>
      <c r="L368" s="11"/>
      <c r="M368" s="11"/>
      <c r="N368" s="11"/>
      <c r="O368" s="11"/>
      <c r="P368" s="11"/>
      <c r="Q368" s="11"/>
      <c r="R368" s="11"/>
      <c r="S368" s="11"/>
      <c r="T368" s="96"/>
      <c r="U368" s="11"/>
      <c r="V368" s="11"/>
      <c r="W368" s="11"/>
      <c r="X368" s="96"/>
      <c r="Y368" s="96"/>
      <c r="Z368" s="96"/>
      <c r="AA368" s="96"/>
      <c r="AB368" s="96"/>
      <c r="AC368" s="96"/>
      <c r="AD368" s="96"/>
      <c r="AE368" s="110"/>
      <c r="AF368" s="110"/>
      <c r="AG368" s="11"/>
      <c r="AH368" s="11"/>
      <c r="AI368" s="11"/>
      <c r="AJ368" s="11"/>
      <c r="AK368" s="11"/>
      <c r="AL368" s="11"/>
      <c r="AM368" s="11"/>
      <c r="AN368" s="250"/>
      <c r="AO368" s="25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96"/>
      <c r="BA368" s="11"/>
      <c r="BB368" s="11"/>
      <c r="BC368" s="96"/>
      <c r="BD368" s="11"/>
      <c r="BE368" s="96"/>
      <c r="BF368" s="11"/>
      <c r="BG368" s="11"/>
      <c r="BH368" s="11"/>
      <c r="BI368" s="11"/>
      <c r="BJ368" s="11"/>
      <c r="BK368" s="11"/>
      <c r="BL368" s="11"/>
      <c r="BM368" s="11"/>
      <c r="BN368" s="96"/>
      <c r="BO368" s="11"/>
      <c r="BP368" s="11"/>
      <c r="BQ368" s="11"/>
      <c r="BR368" s="11"/>
      <c r="BS368" s="11"/>
      <c r="BT368" s="11"/>
      <c r="BU368" s="96"/>
      <c r="BV368" s="96"/>
      <c r="BW368" s="96"/>
      <c r="BX368" s="11"/>
      <c r="BY368" s="11"/>
      <c r="BZ368" s="11"/>
      <c r="CA368" s="11"/>
      <c r="CB368" s="11"/>
      <c r="CC368" s="11"/>
      <c r="CD368" s="11"/>
      <c r="CE368" s="11"/>
      <c r="CF368" s="11"/>
      <c r="CG368" s="96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96"/>
      <c r="CY368" s="96"/>
      <c r="CZ368" s="11"/>
      <c r="DA368" s="15"/>
      <c r="DB368" s="53"/>
      <c r="DC368" s="68"/>
      <c r="DD368" s="209"/>
      <c r="DE368" s="209"/>
      <c r="DF368" s="115"/>
      <c r="DG368" s="4"/>
      <c r="DH368" s="115"/>
      <c r="DI368" s="115"/>
      <c r="DJ368" s="209"/>
      <c r="DK368" s="62"/>
      <c r="DL368" s="62"/>
      <c r="DM368" s="62"/>
      <c r="DN368" s="13"/>
    </row>
    <row r="369" spans="1:118" x14ac:dyDescent="0.2">
      <c r="A369" s="102"/>
      <c r="B369" s="245"/>
      <c r="C369" s="9"/>
      <c r="D369" s="9"/>
      <c r="E369" s="82"/>
      <c r="F369" s="82"/>
      <c r="G369" s="9"/>
      <c r="H369" s="93"/>
      <c r="I369" s="46"/>
      <c r="J369" s="79"/>
      <c r="K369" s="11"/>
      <c r="L369" s="11"/>
      <c r="M369" s="11"/>
      <c r="N369" s="11"/>
      <c r="O369" s="11"/>
      <c r="P369" s="11"/>
      <c r="Q369" s="11"/>
      <c r="R369" s="11"/>
      <c r="S369" s="11"/>
      <c r="T369" s="96"/>
      <c r="U369" s="11"/>
      <c r="V369" s="11"/>
      <c r="W369" s="11"/>
      <c r="X369" s="96"/>
      <c r="Y369" s="96"/>
      <c r="Z369" s="96"/>
      <c r="AA369" s="96"/>
      <c r="AB369" s="96"/>
      <c r="AC369" s="96"/>
      <c r="AD369" s="96"/>
      <c r="AE369" s="110"/>
      <c r="AF369" s="110"/>
      <c r="AG369" s="11"/>
      <c r="AH369" s="11"/>
      <c r="AI369" s="11"/>
      <c r="AJ369" s="11"/>
      <c r="AK369" s="11"/>
      <c r="AL369" s="11"/>
      <c r="AM369" s="11"/>
      <c r="AN369" s="250"/>
      <c r="AO369" s="25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96"/>
      <c r="BA369" s="11"/>
      <c r="BB369" s="11"/>
      <c r="BC369" s="96"/>
      <c r="BD369" s="11"/>
      <c r="BE369" s="96"/>
      <c r="BF369" s="11"/>
      <c r="BG369" s="11"/>
      <c r="BH369" s="11"/>
      <c r="BI369" s="11"/>
      <c r="BJ369" s="11"/>
      <c r="BK369" s="11"/>
      <c r="BL369" s="11"/>
      <c r="BM369" s="11"/>
      <c r="BN369" s="96"/>
      <c r="BO369" s="11"/>
      <c r="BP369" s="11"/>
      <c r="BQ369" s="11"/>
      <c r="BR369" s="11"/>
      <c r="BS369" s="11"/>
      <c r="BT369" s="11"/>
      <c r="BU369" s="96"/>
      <c r="BV369" s="96"/>
      <c r="BW369" s="96"/>
      <c r="BX369" s="11"/>
      <c r="BY369" s="11"/>
      <c r="BZ369" s="11"/>
      <c r="CA369" s="11"/>
      <c r="CB369" s="11"/>
      <c r="CC369" s="11"/>
      <c r="CD369" s="11"/>
      <c r="CE369" s="11"/>
      <c r="CF369" s="11"/>
      <c r="CG369" s="96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96"/>
      <c r="CY369" s="96"/>
      <c r="CZ369" s="11"/>
      <c r="DA369" s="15"/>
      <c r="DB369" s="53"/>
      <c r="DC369" s="68"/>
      <c r="DD369" s="209"/>
      <c r="DE369" s="209"/>
      <c r="DF369" s="115"/>
      <c r="DG369" s="4"/>
      <c r="DH369" s="115"/>
      <c r="DI369" s="115"/>
      <c r="DJ369" s="209"/>
      <c r="DK369" s="62"/>
      <c r="DL369" s="62"/>
      <c r="DM369" s="62"/>
      <c r="DN369" s="13"/>
    </row>
    <row r="370" spans="1:118" x14ac:dyDescent="0.2">
      <c r="A370" s="102"/>
      <c r="B370" s="245"/>
      <c r="C370" s="9"/>
      <c r="D370" s="9"/>
      <c r="E370" s="82"/>
      <c r="F370" s="82"/>
      <c r="G370" s="9"/>
      <c r="H370" s="93"/>
      <c r="I370" s="46"/>
      <c r="J370" s="79"/>
      <c r="K370" s="11"/>
      <c r="L370" s="11"/>
      <c r="M370" s="11"/>
      <c r="N370" s="11"/>
      <c r="O370" s="11"/>
      <c r="P370" s="11"/>
      <c r="Q370" s="11"/>
      <c r="R370" s="11"/>
      <c r="S370" s="11"/>
      <c r="T370" s="96"/>
      <c r="U370" s="11"/>
      <c r="V370" s="11"/>
      <c r="W370" s="11"/>
      <c r="X370" s="96"/>
      <c r="Y370" s="96"/>
      <c r="Z370" s="96"/>
      <c r="AA370" s="96"/>
      <c r="AB370" s="96"/>
      <c r="AC370" s="96"/>
      <c r="AD370" s="96"/>
      <c r="AE370" s="110"/>
      <c r="AF370" s="110"/>
      <c r="AG370" s="11"/>
      <c r="AH370" s="11"/>
      <c r="AI370" s="11"/>
      <c r="AJ370" s="11"/>
      <c r="AK370" s="11"/>
      <c r="AL370" s="11"/>
      <c r="AM370" s="11"/>
      <c r="AN370" s="250"/>
      <c r="AO370" s="25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96"/>
      <c r="BA370" s="11"/>
      <c r="BB370" s="11"/>
      <c r="BC370" s="96"/>
      <c r="BD370" s="11"/>
      <c r="BE370" s="96"/>
      <c r="BF370" s="11"/>
      <c r="BG370" s="11"/>
      <c r="BH370" s="11"/>
      <c r="BI370" s="11"/>
      <c r="BJ370" s="11"/>
      <c r="BK370" s="11"/>
      <c r="BL370" s="11"/>
      <c r="BM370" s="11"/>
      <c r="BN370" s="96"/>
      <c r="BO370" s="11"/>
      <c r="BP370" s="11"/>
      <c r="BQ370" s="11"/>
      <c r="BR370" s="11"/>
      <c r="BS370" s="11"/>
      <c r="BT370" s="11"/>
      <c r="BU370" s="96"/>
      <c r="BV370" s="96"/>
      <c r="BW370" s="96"/>
      <c r="BX370" s="11"/>
      <c r="BY370" s="11"/>
      <c r="BZ370" s="11"/>
      <c r="CA370" s="11"/>
      <c r="CB370" s="11"/>
      <c r="CC370" s="11"/>
      <c r="CD370" s="11"/>
      <c r="CE370" s="11"/>
      <c r="CF370" s="11"/>
      <c r="CG370" s="96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96"/>
      <c r="CY370" s="96"/>
      <c r="CZ370" s="11"/>
      <c r="DA370" s="15"/>
      <c r="DB370" s="53"/>
      <c r="DC370" s="68"/>
      <c r="DD370" s="209"/>
      <c r="DE370" s="209"/>
      <c r="DF370" s="115"/>
      <c r="DG370" s="4"/>
      <c r="DH370" s="115"/>
      <c r="DI370" s="115"/>
      <c r="DJ370" s="209"/>
      <c r="DK370" s="62"/>
      <c r="DL370" s="62"/>
      <c r="DM370" s="62"/>
      <c r="DN370" s="13"/>
    </row>
    <row r="371" spans="1:118" x14ac:dyDescent="0.2">
      <c r="A371" s="102"/>
      <c r="B371" s="245"/>
      <c r="C371" s="9"/>
      <c r="D371" s="9"/>
      <c r="E371" s="82"/>
      <c r="F371" s="82"/>
      <c r="G371" s="9"/>
      <c r="H371" s="93"/>
      <c r="I371" s="46"/>
      <c r="J371" s="79"/>
      <c r="K371" s="11"/>
      <c r="L371" s="11"/>
      <c r="M371" s="11"/>
      <c r="N371" s="11"/>
      <c r="O371" s="11"/>
      <c r="P371" s="11"/>
      <c r="Q371" s="11"/>
      <c r="R371" s="11"/>
      <c r="S371" s="11"/>
      <c r="T371" s="96"/>
      <c r="U371" s="11"/>
      <c r="V371" s="11"/>
      <c r="W371" s="11"/>
      <c r="X371" s="96"/>
      <c r="Y371" s="96"/>
      <c r="Z371" s="96"/>
      <c r="AA371" s="96"/>
      <c r="AB371" s="96"/>
      <c r="AC371" s="96"/>
      <c r="AD371" s="96"/>
      <c r="AE371" s="110"/>
      <c r="AF371" s="110"/>
      <c r="AG371" s="11"/>
      <c r="AH371" s="11"/>
      <c r="AI371" s="11"/>
      <c r="AJ371" s="11"/>
      <c r="AK371" s="11"/>
      <c r="AL371" s="11"/>
      <c r="AM371" s="11"/>
      <c r="AN371" s="250"/>
      <c r="AO371" s="25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96"/>
      <c r="BA371" s="11"/>
      <c r="BB371" s="11"/>
      <c r="BC371" s="96"/>
      <c r="BD371" s="11"/>
      <c r="BE371" s="96"/>
      <c r="BF371" s="11"/>
      <c r="BG371" s="11"/>
      <c r="BH371" s="11"/>
      <c r="BI371" s="11"/>
      <c r="BJ371" s="11"/>
      <c r="BK371" s="11"/>
      <c r="BL371" s="11"/>
      <c r="BM371" s="11"/>
      <c r="BN371" s="96"/>
      <c r="BO371" s="11"/>
      <c r="BP371" s="11"/>
      <c r="BQ371" s="11"/>
      <c r="BR371" s="11"/>
      <c r="BS371" s="11"/>
      <c r="BT371" s="11"/>
      <c r="BU371" s="96"/>
      <c r="BV371" s="96"/>
      <c r="BW371" s="96"/>
      <c r="BX371" s="11"/>
      <c r="BY371" s="11"/>
      <c r="BZ371" s="11"/>
      <c r="CA371" s="11"/>
      <c r="CB371" s="11"/>
      <c r="CC371" s="11"/>
      <c r="CD371" s="11"/>
      <c r="CE371" s="11"/>
      <c r="CF371" s="11"/>
      <c r="CG371" s="96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96"/>
      <c r="CY371" s="96"/>
      <c r="CZ371" s="11"/>
      <c r="DA371" s="15"/>
      <c r="DB371" s="53"/>
      <c r="DC371" s="68"/>
      <c r="DD371" s="209"/>
      <c r="DE371" s="209"/>
      <c r="DF371" s="115"/>
      <c r="DG371" s="4"/>
      <c r="DH371" s="115"/>
      <c r="DI371" s="115"/>
      <c r="DJ371" s="209"/>
      <c r="DK371" s="62"/>
      <c r="DL371" s="62"/>
      <c r="DM371" s="62"/>
      <c r="DN371" s="13"/>
    </row>
    <row r="372" spans="1:118" x14ac:dyDescent="0.2">
      <c r="A372" s="102"/>
      <c r="B372" s="245"/>
      <c r="C372" s="9"/>
      <c r="D372" s="9"/>
      <c r="E372" s="82"/>
      <c r="F372" s="82"/>
      <c r="G372" s="9"/>
      <c r="H372" s="93"/>
      <c r="I372" s="46"/>
      <c r="J372" s="79"/>
      <c r="K372" s="11"/>
      <c r="L372" s="11"/>
      <c r="M372" s="11"/>
      <c r="N372" s="11"/>
      <c r="O372" s="11"/>
      <c r="P372" s="11"/>
      <c r="Q372" s="11"/>
      <c r="R372" s="11"/>
      <c r="S372" s="11"/>
      <c r="T372" s="96"/>
      <c r="U372" s="11"/>
      <c r="V372" s="11"/>
      <c r="W372" s="11"/>
      <c r="X372" s="96"/>
      <c r="Y372" s="96"/>
      <c r="Z372" s="96"/>
      <c r="AA372" s="96"/>
      <c r="AB372" s="96"/>
      <c r="AC372" s="96"/>
      <c r="AD372" s="96"/>
      <c r="AE372" s="110"/>
      <c r="AF372" s="110"/>
      <c r="AG372" s="11"/>
      <c r="AH372" s="11"/>
      <c r="AI372" s="11"/>
      <c r="AJ372" s="11"/>
      <c r="AK372" s="11"/>
      <c r="AL372" s="11"/>
      <c r="AM372" s="11"/>
      <c r="AN372" s="250"/>
      <c r="AO372" s="25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96"/>
      <c r="BA372" s="11"/>
      <c r="BB372" s="11"/>
      <c r="BC372" s="96"/>
      <c r="BD372" s="11"/>
      <c r="BE372" s="96"/>
      <c r="BF372" s="11"/>
      <c r="BG372" s="11"/>
      <c r="BH372" s="11"/>
      <c r="BI372" s="11"/>
      <c r="BJ372" s="11"/>
      <c r="BK372" s="11"/>
      <c r="BL372" s="11"/>
      <c r="BM372" s="11"/>
      <c r="BN372" s="96"/>
      <c r="BO372" s="11"/>
      <c r="BP372" s="11"/>
      <c r="BQ372" s="11"/>
      <c r="BR372" s="11"/>
      <c r="BS372" s="11"/>
      <c r="BT372" s="11"/>
      <c r="BU372" s="96"/>
      <c r="BV372" s="96"/>
      <c r="BW372" s="96"/>
      <c r="BX372" s="11"/>
      <c r="BY372" s="11"/>
      <c r="BZ372" s="11"/>
      <c r="CA372" s="11"/>
      <c r="CB372" s="11"/>
      <c r="CC372" s="11"/>
      <c r="CD372" s="11"/>
      <c r="CE372" s="11"/>
      <c r="CF372" s="11"/>
      <c r="CG372" s="96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96"/>
      <c r="CY372" s="96"/>
      <c r="CZ372" s="11"/>
      <c r="DA372" s="15"/>
      <c r="DB372" s="53"/>
      <c r="DC372" s="68"/>
      <c r="DD372" s="209"/>
      <c r="DE372" s="209"/>
      <c r="DF372" s="115"/>
      <c r="DG372" s="4"/>
      <c r="DH372" s="115"/>
      <c r="DI372" s="115"/>
      <c r="DJ372" s="209"/>
      <c r="DK372" s="62"/>
      <c r="DL372" s="62"/>
      <c r="DM372" s="62"/>
      <c r="DN372" s="13"/>
    </row>
    <row r="373" spans="1:118" x14ac:dyDescent="0.2">
      <c r="A373" s="102"/>
      <c r="B373" s="245"/>
      <c r="C373" s="9"/>
      <c r="D373" s="9"/>
      <c r="E373" s="82"/>
      <c r="F373" s="82"/>
      <c r="G373" s="9"/>
      <c r="H373" s="93"/>
      <c r="I373" s="46"/>
      <c r="J373" s="79"/>
      <c r="K373" s="11"/>
      <c r="L373" s="11"/>
      <c r="M373" s="11"/>
      <c r="N373" s="11"/>
      <c r="O373" s="11"/>
      <c r="P373" s="11"/>
      <c r="Q373" s="11"/>
      <c r="R373" s="11"/>
      <c r="S373" s="11"/>
      <c r="T373" s="96"/>
      <c r="U373" s="11"/>
      <c r="V373" s="11"/>
      <c r="W373" s="11"/>
      <c r="X373" s="96"/>
      <c r="Y373" s="96"/>
      <c r="Z373" s="96"/>
      <c r="AA373" s="96"/>
      <c r="AB373" s="96"/>
      <c r="AC373" s="96"/>
      <c r="AD373" s="96"/>
      <c r="AE373" s="110"/>
      <c r="AF373" s="110"/>
      <c r="AG373" s="11"/>
      <c r="AH373" s="11"/>
      <c r="AI373" s="11"/>
      <c r="AJ373" s="11"/>
      <c r="AK373" s="11"/>
      <c r="AL373" s="11"/>
      <c r="AM373" s="11"/>
      <c r="AN373" s="250"/>
      <c r="AO373" s="25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96"/>
      <c r="BA373" s="11"/>
      <c r="BB373" s="11"/>
      <c r="BC373" s="96"/>
      <c r="BD373" s="11"/>
      <c r="BE373" s="96"/>
      <c r="BF373" s="11"/>
      <c r="BG373" s="11"/>
      <c r="BH373" s="11"/>
      <c r="BI373" s="11"/>
      <c r="BJ373" s="11"/>
      <c r="BK373" s="11"/>
      <c r="BL373" s="11"/>
      <c r="BM373" s="11"/>
      <c r="BN373" s="96"/>
      <c r="BO373" s="11"/>
      <c r="BP373" s="11"/>
      <c r="BQ373" s="11"/>
      <c r="BR373" s="11"/>
      <c r="BS373" s="11"/>
      <c r="BT373" s="11"/>
      <c r="BU373" s="96"/>
      <c r="BV373" s="96"/>
      <c r="BW373" s="96"/>
      <c r="BX373" s="11"/>
      <c r="BY373" s="11"/>
      <c r="BZ373" s="11"/>
      <c r="CA373" s="11"/>
      <c r="CB373" s="11"/>
      <c r="CC373" s="11"/>
      <c r="CD373" s="11"/>
      <c r="CE373" s="11"/>
      <c r="CF373" s="11"/>
      <c r="CG373" s="96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96"/>
      <c r="CY373" s="96"/>
      <c r="CZ373" s="11"/>
      <c r="DA373" s="15"/>
      <c r="DB373" s="53"/>
      <c r="DC373" s="68"/>
      <c r="DD373" s="209"/>
      <c r="DE373" s="209"/>
      <c r="DF373" s="115"/>
      <c r="DG373" s="4"/>
      <c r="DH373" s="115"/>
      <c r="DI373" s="115"/>
      <c r="DJ373" s="209"/>
      <c r="DK373" s="62"/>
      <c r="DL373" s="62"/>
      <c r="DM373" s="62"/>
      <c r="DN373" s="13"/>
    </row>
    <row r="374" spans="1:118" x14ac:dyDescent="0.2">
      <c r="A374" s="102"/>
      <c r="B374" s="245"/>
      <c r="C374" s="9"/>
      <c r="D374" s="9"/>
      <c r="E374" s="82"/>
      <c r="F374" s="82"/>
      <c r="G374" s="9"/>
      <c r="H374" s="93"/>
      <c r="I374" s="46"/>
      <c r="J374" s="79"/>
      <c r="K374" s="11"/>
      <c r="L374" s="11"/>
      <c r="M374" s="11"/>
      <c r="N374" s="11"/>
      <c r="O374" s="11"/>
      <c r="P374" s="11"/>
      <c r="Q374" s="11"/>
      <c r="R374" s="11"/>
      <c r="S374" s="11"/>
      <c r="T374" s="96"/>
      <c r="U374" s="11"/>
      <c r="V374" s="11"/>
      <c r="W374" s="11"/>
      <c r="X374" s="96"/>
      <c r="Y374" s="96"/>
      <c r="Z374" s="96"/>
      <c r="AA374" s="96"/>
      <c r="AB374" s="96"/>
      <c r="AC374" s="96"/>
      <c r="AD374" s="96"/>
      <c r="AE374" s="110"/>
      <c r="AF374" s="110"/>
      <c r="AG374" s="11"/>
      <c r="AH374" s="11"/>
      <c r="AI374" s="11"/>
      <c r="AJ374" s="11"/>
      <c r="AK374" s="11"/>
      <c r="AL374" s="11"/>
      <c r="AM374" s="11"/>
      <c r="AN374" s="250"/>
      <c r="AO374" s="25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96"/>
      <c r="BA374" s="11"/>
      <c r="BB374" s="11"/>
      <c r="BC374" s="96"/>
      <c r="BD374" s="11"/>
      <c r="BE374" s="96"/>
      <c r="BF374" s="11"/>
      <c r="BG374" s="11"/>
      <c r="BH374" s="11"/>
      <c r="BI374" s="11"/>
      <c r="BJ374" s="11"/>
      <c r="BK374" s="11"/>
      <c r="BL374" s="11"/>
      <c r="BM374" s="11"/>
      <c r="BN374" s="96"/>
      <c r="BO374" s="11"/>
      <c r="BP374" s="11"/>
      <c r="BQ374" s="11"/>
      <c r="BR374" s="11"/>
      <c r="BS374" s="11"/>
      <c r="BT374" s="11"/>
      <c r="BU374" s="96"/>
      <c r="BV374" s="96"/>
      <c r="BW374" s="96"/>
      <c r="BX374" s="11"/>
      <c r="BY374" s="11"/>
      <c r="BZ374" s="11"/>
      <c r="CA374" s="11"/>
      <c r="CB374" s="11"/>
      <c r="CC374" s="11"/>
      <c r="CD374" s="11"/>
      <c r="CE374" s="11"/>
      <c r="CF374" s="11"/>
      <c r="CG374" s="96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96"/>
      <c r="CY374" s="96"/>
      <c r="CZ374" s="11"/>
      <c r="DA374" s="15"/>
      <c r="DB374" s="53"/>
      <c r="DC374" s="68"/>
      <c r="DD374" s="209"/>
      <c r="DE374" s="209"/>
      <c r="DF374" s="115"/>
      <c r="DG374" s="4"/>
      <c r="DH374" s="115"/>
      <c r="DI374" s="115"/>
      <c r="DJ374" s="209"/>
      <c r="DK374" s="62"/>
      <c r="DL374" s="62"/>
      <c r="DM374" s="62"/>
      <c r="DN374" s="13"/>
    </row>
    <row r="375" spans="1:118" x14ac:dyDescent="0.2">
      <c r="B375" s="5"/>
      <c r="C375" s="4"/>
      <c r="D375" s="4"/>
      <c r="X375"/>
      <c r="DD375"/>
    </row>
    <row r="376" spans="1:118" x14ac:dyDescent="0.2">
      <c r="B376" s="5"/>
      <c r="C376" s="4"/>
      <c r="D376" s="4"/>
      <c r="E376" s="98"/>
      <c r="F376" s="4"/>
      <c r="X376"/>
      <c r="DD376"/>
    </row>
    <row r="378" spans="1:118" x14ac:dyDescent="0.2">
      <c r="A378" s="5"/>
      <c r="B378" s="5"/>
      <c r="C378" s="4"/>
      <c r="X378"/>
      <c r="DD378"/>
    </row>
    <row r="379" spans="1:118" x14ac:dyDescent="0.2">
      <c r="A379" s="5"/>
      <c r="B379" s="5"/>
      <c r="C379" s="4"/>
      <c r="X379"/>
      <c r="DD379"/>
    </row>
  </sheetData>
  <sortState ref="B4:DN153">
    <sortCondition ref="B4:B153"/>
  </sortState>
  <phoneticPr fontId="0" type="noConversion"/>
  <pageMargins left="0.75" right="0.75" top="1" bottom="1" header="0.5" footer="0.5"/>
  <pageSetup pageOrder="overThenDown" orientation="landscape" horizontalDpi="4294967292" verticalDpi="1200" r:id="rId1"/>
  <headerFooter alignWithMargins="0">
    <oddHeader>&amp;L&amp;"Tahoma,Bold"U.S. Biathlon Association&amp;C&amp;"Tahoma,Bold"&amp;11USBA Race Points&amp;R&amp;"Tahoma,Bold"2009 Season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3" workbookViewId="0">
      <selection activeCell="A10" sqref="A10:G10"/>
    </sheetView>
  </sheetViews>
  <sheetFormatPr defaultRowHeight="12.75" x14ac:dyDescent="0.2"/>
  <cols>
    <col min="1" max="1" width="9.140625" style="63"/>
    <col min="2" max="2" width="24.7109375" customWidth="1"/>
    <col min="3" max="7" width="9.7109375" customWidth="1"/>
  </cols>
  <sheetData>
    <row r="1" spans="1:7" x14ac:dyDescent="0.2">
      <c r="A1" s="286" t="s">
        <v>10</v>
      </c>
      <c r="B1" s="30" t="s">
        <v>379</v>
      </c>
      <c r="C1" s="31"/>
      <c r="D1" s="31"/>
      <c r="E1" s="31"/>
      <c r="F1" s="31"/>
      <c r="G1" s="32"/>
    </row>
    <row r="2" spans="1:7" x14ac:dyDescent="0.2">
      <c r="A2" s="287" t="s">
        <v>11</v>
      </c>
      <c r="B2" s="34">
        <v>43107</v>
      </c>
      <c r="C2" s="35"/>
      <c r="D2" s="35"/>
      <c r="E2" s="35"/>
      <c r="F2" s="35"/>
      <c r="G2" s="36"/>
    </row>
    <row r="3" spans="1:7" x14ac:dyDescent="0.2">
      <c r="A3" s="287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287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287" t="s">
        <v>14</v>
      </c>
      <c r="B5" s="37" t="s">
        <v>71</v>
      </c>
      <c r="C5" s="35"/>
      <c r="D5" s="35"/>
      <c r="E5" s="35" t="s">
        <v>28</v>
      </c>
      <c r="F5" s="52">
        <f>AVERAGE(C8:C9)*(AVERAGE(D8:D9)/100)</f>
        <v>1.9804054978410764E-2</v>
      </c>
      <c r="G5" s="36"/>
    </row>
    <row r="6" spans="1:7" x14ac:dyDescent="0.2">
      <c r="A6" s="28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364</v>
      </c>
      <c r="C8" s="90">
        <v>3.1160879629629632E-2</v>
      </c>
      <c r="D8" s="6">
        <f>INDEX('Points Summary'!$E$4:$E$672,G8)</f>
        <v>64.396145609308164</v>
      </c>
      <c r="E8" s="67">
        <f>(AVERAGE($D$8:$D$9)/100*AVERAGE($C$8:$C$9))/C8</f>
        <v>0.63554223159926082</v>
      </c>
      <c r="F8" s="5"/>
      <c r="G8" s="4">
        <f>MATCH(B8,'Points Summary'!$B$4:$B$673,0)</f>
        <v>20</v>
      </c>
    </row>
    <row r="9" spans="1:7" x14ac:dyDescent="0.2">
      <c r="A9" s="4">
        <v>1</v>
      </c>
      <c r="B9" s="5" t="s">
        <v>378</v>
      </c>
      <c r="C9" s="90">
        <v>3.9827546296296298E-2</v>
      </c>
      <c r="D9" s="6">
        <f>INDEX('Points Summary'!$E$4:$E$672,G9)</f>
        <v>47.194186026306028</v>
      </c>
      <c r="E9" s="67">
        <f>(AVERAGE($D$8:$D$9)/100*AVERAGE($C$8:$C$9))/C9</f>
        <v>0.49724516873519803</v>
      </c>
      <c r="F9" s="5"/>
      <c r="G9" s="4">
        <f>MATCH(B9,'Points Summary'!$B$4:$B$673,0)</f>
        <v>112</v>
      </c>
    </row>
    <row r="10" spans="1:7" x14ac:dyDescent="0.2">
      <c r="A10" s="4"/>
      <c r="B10" s="5"/>
      <c r="C10" s="90"/>
      <c r="D10" s="6"/>
      <c r="E10" s="67"/>
      <c r="F10" s="5"/>
      <c r="G10" s="4"/>
    </row>
    <row r="11" spans="1:7" x14ac:dyDescent="0.2">
      <c r="A11" s="4"/>
      <c r="B11" s="5"/>
      <c r="C11" s="90"/>
      <c r="D11" s="6"/>
      <c r="E11" s="67"/>
      <c r="F11" s="5"/>
      <c r="G11" s="4"/>
    </row>
    <row r="12" spans="1:7" x14ac:dyDescent="0.2">
      <c r="A12" s="4"/>
      <c r="B12" s="5"/>
      <c r="C12" s="90"/>
      <c r="D12" s="6"/>
      <c r="E12" s="67"/>
      <c r="F12" s="5"/>
      <c r="G12" s="4"/>
    </row>
    <row r="13" spans="1:7" x14ac:dyDescent="0.2">
      <c r="A13" s="4"/>
      <c r="B13" s="5"/>
      <c r="C13" s="90"/>
      <c r="D13" s="6"/>
      <c r="E13" s="67"/>
      <c r="F13" s="5"/>
      <c r="G13" s="4"/>
    </row>
    <row r="14" spans="1:7" x14ac:dyDescent="0.2">
      <c r="A14" s="4"/>
      <c r="B14" s="5"/>
      <c r="C14" s="90"/>
      <c r="D14" s="6"/>
      <c r="E14" s="67"/>
      <c r="F14" s="5"/>
      <c r="G14" s="4"/>
    </row>
    <row r="15" spans="1:7" x14ac:dyDescent="0.2">
      <c r="A15" s="4"/>
      <c r="B15" s="5"/>
      <c r="C15" s="90"/>
      <c r="D15" s="6"/>
      <c r="E15" s="67"/>
      <c r="F15" s="5"/>
      <c r="G15" s="4"/>
    </row>
    <row r="16" spans="1:7" x14ac:dyDescent="0.2">
      <c r="A16" s="4"/>
      <c r="B16" s="5"/>
      <c r="C16" s="90"/>
      <c r="D16" s="6"/>
      <c r="E16" s="67"/>
      <c r="F16" s="5"/>
      <c r="G16" s="4"/>
    </row>
    <row r="17" spans="1:7" x14ac:dyDescent="0.2">
      <c r="A17" s="4"/>
      <c r="B17" s="5"/>
      <c r="C17" s="90"/>
      <c r="D17" s="6"/>
      <c r="E17" s="67"/>
      <c r="F17" s="5"/>
      <c r="G17" s="4"/>
    </row>
    <row r="18" spans="1:7" x14ac:dyDescent="0.2">
      <c r="A18" s="4"/>
      <c r="B18" s="5"/>
      <c r="C18" s="90"/>
      <c r="D18" s="6"/>
      <c r="E18" s="67"/>
      <c r="F18" s="5"/>
      <c r="G18" s="4"/>
    </row>
    <row r="19" spans="1:7" x14ac:dyDescent="0.2">
      <c r="A19" s="4"/>
      <c r="B19" s="5"/>
      <c r="C19" s="90"/>
      <c r="D19" s="6"/>
      <c r="E19" s="67"/>
      <c r="F19" s="5"/>
      <c r="G19" s="4"/>
    </row>
    <row r="20" spans="1:7" x14ac:dyDescent="0.2">
      <c r="A20" s="4"/>
      <c r="B20" s="5"/>
      <c r="C20" s="90"/>
      <c r="D20" s="6"/>
      <c r="E20" s="67"/>
      <c r="F20" s="5"/>
      <c r="G20" s="4"/>
    </row>
    <row r="21" spans="1:7" x14ac:dyDescent="0.2">
      <c r="B21" s="5"/>
      <c r="C21" s="90"/>
      <c r="D21" s="6"/>
      <c r="E21" s="67"/>
      <c r="F21" s="5"/>
      <c r="G21" s="4"/>
    </row>
    <row r="22" spans="1:7" x14ac:dyDescent="0.2">
      <c r="B22" s="5"/>
      <c r="C22" s="90"/>
      <c r="D22" s="6"/>
      <c r="E22" s="67"/>
      <c r="F22" s="5"/>
      <c r="G22" s="4"/>
    </row>
    <row r="23" spans="1:7" x14ac:dyDescent="0.2">
      <c r="B23" s="5"/>
      <c r="C23" s="90"/>
      <c r="D23" s="6"/>
      <c r="E23" s="67"/>
      <c r="F23" s="5"/>
      <c r="G23" s="4"/>
    </row>
    <row r="24" spans="1:7" x14ac:dyDescent="0.2">
      <c r="B24" s="5"/>
      <c r="C24" s="90"/>
      <c r="D24" s="6"/>
      <c r="E24" s="67"/>
      <c r="F24" s="5"/>
      <c r="G24" s="4"/>
    </row>
    <row r="25" spans="1:7" x14ac:dyDescent="0.2">
      <c r="B25" s="5"/>
      <c r="C25" s="90"/>
      <c r="D25" s="6"/>
      <c r="E25" s="67"/>
      <c r="F25" s="5"/>
      <c r="G25" s="4"/>
    </row>
    <row r="26" spans="1:7" x14ac:dyDescent="0.2">
      <c r="B26" s="5"/>
      <c r="C26" s="90"/>
      <c r="D26" s="6"/>
      <c r="E26" s="67"/>
      <c r="F26" s="5"/>
      <c r="G26" s="4"/>
    </row>
    <row r="27" spans="1:7" x14ac:dyDescent="0.2">
      <c r="B27" s="5"/>
      <c r="C27" s="90"/>
      <c r="D27" s="6"/>
      <c r="E27" s="67"/>
      <c r="F27" s="5"/>
      <c r="G27" s="4"/>
    </row>
    <row r="28" spans="1:7" x14ac:dyDescent="0.2">
      <c r="B28" s="5"/>
    </row>
    <row r="29" spans="1:7" x14ac:dyDescent="0.2">
      <c r="B29" s="5"/>
    </row>
  </sheetData>
  <sortState ref="A8:G9">
    <sortCondition descending="1" ref="D8:D9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2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381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43111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382</v>
      </c>
      <c r="C5" s="35"/>
      <c r="D5" s="35"/>
      <c r="E5" s="35" t="s">
        <v>28</v>
      </c>
      <c r="F5" s="52">
        <f>AVERAGE(C8:C10)*(AVERAGE(D8:D10)/100)</f>
        <v>3.2654149834375708E-2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5</v>
      </c>
      <c r="B8" s="88" t="s">
        <v>248</v>
      </c>
      <c r="C8" s="90">
        <v>3.4030092592592591E-2</v>
      </c>
      <c r="D8" s="6">
        <f>INDEX('Points Summary'!$E$4:$E$672,G8)</f>
        <v>93.079404072677221</v>
      </c>
      <c r="E8" s="41">
        <f>(AVERAGE($D$8:$D$10)/100*AVERAGE($C$8:$C$10))/C8</f>
        <v>0.95956688173935833</v>
      </c>
      <c r="F8" s="5"/>
      <c r="G8" s="4">
        <f>MATCH(B8,'Points Summary'!$B$4:$B$673,0)</f>
        <v>40</v>
      </c>
    </row>
    <row r="9" spans="1:7" x14ac:dyDescent="0.2">
      <c r="A9" s="4">
        <v>45</v>
      </c>
      <c r="B9" s="5" t="s">
        <v>249</v>
      </c>
      <c r="C9" s="90">
        <v>3.7103009259259259E-2</v>
      </c>
      <c r="D9" s="6">
        <f>INDEX('Points Summary'!$E$4:$E$672,G9)</f>
        <v>92.732138127112805</v>
      </c>
      <c r="E9" s="41">
        <f>(AVERAGE($D$8:$D$10)/100*AVERAGE($C$8:$C$10))/C9</f>
        <v>0.8800943774183676</v>
      </c>
      <c r="F9" s="5"/>
      <c r="G9" s="4">
        <f>MATCH(B9,'Points Summary'!$B$4:$B$673,0)</f>
        <v>106</v>
      </c>
    </row>
    <row r="10" spans="1:7" x14ac:dyDescent="0.2">
      <c r="A10" s="4">
        <v>11</v>
      </c>
      <c r="B10" s="5" t="s">
        <v>216</v>
      </c>
      <c r="C10" s="90">
        <v>3.4703703703703702E-2</v>
      </c>
      <c r="D10" s="6">
        <f>INDEX('Points Summary'!$E$4:$E$672,G10)</f>
        <v>91.868180810287825</v>
      </c>
      <c r="E10" s="41">
        <f>(AVERAGE($D$8:$D$10)/100*AVERAGE($C$8:$C$10))/C10</f>
        <v>0.94094135061701623</v>
      </c>
      <c r="F10" s="5"/>
      <c r="G10" s="4">
        <f>MATCH(B10,'Points Summary'!$B$4:$B$673,0)</f>
        <v>101</v>
      </c>
    </row>
    <row r="11" spans="1:7" x14ac:dyDescent="0.2">
      <c r="A11" s="4">
        <v>37</v>
      </c>
      <c r="B11" s="5" t="s">
        <v>228</v>
      </c>
      <c r="C11" s="90">
        <v>3.6795138888888891E-2</v>
      </c>
      <c r="D11" s="6">
        <f>INDEX('Points Summary'!$E$4:$E$672,G11)</f>
        <v>88.502368288866123</v>
      </c>
      <c r="E11" s="41">
        <f>(AVERAGE($D$8:$D$10)/100*AVERAGE($C$8:$C$10))/C11</f>
        <v>0.88745825727094496</v>
      </c>
      <c r="F11" s="5"/>
      <c r="G11" s="4">
        <f>MATCH(B11,'Points Summary'!$B$4:$B$673,0)</f>
        <v>81</v>
      </c>
    </row>
    <row r="12" spans="1:7" x14ac:dyDescent="0.2">
      <c r="A12" s="4"/>
      <c r="B12" s="88"/>
      <c r="C12" s="90"/>
      <c r="D12" s="6"/>
      <c r="E12" s="41"/>
      <c r="F12" s="5"/>
      <c r="G12" s="4"/>
    </row>
    <row r="13" spans="1:7" x14ac:dyDescent="0.2">
      <c r="A13" s="4"/>
      <c r="B13" s="88"/>
      <c r="C13" s="90"/>
      <c r="D13" s="6"/>
      <c r="E13" s="41"/>
      <c r="F13" s="5"/>
      <c r="G13" s="4"/>
    </row>
    <row r="14" spans="1:7" x14ac:dyDescent="0.2">
      <c r="A14" s="4"/>
      <c r="B14" s="88"/>
      <c r="C14" s="90"/>
      <c r="D14" s="6"/>
      <c r="E14" s="41"/>
      <c r="F14" s="5"/>
      <c r="G14" s="4"/>
    </row>
    <row r="15" spans="1:7" x14ac:dyDescent="0.2">
      <c r="A15" s="4"/>
      <c r="B15" s="88"/>
      <c r="C15" s="90"/>
      <c r="D15" s="6"/>
      <c r="E15" s="41"/>
      <c r="F15" s="5"/>
      <c r="G15" s="4"/>
    </row>
    <row r="16" spans="1:7" x14ac:dyDescent="0.2">
      <c r="A16" s="4"/>
      <c r="B16" s="88"/>
      <c r="C16" s="90"/>
      <c r="D16" s="6" t="s">
        <v>15</v>
      </c>
      <c r="E16" s="41"/>
      <c r="F16" s="5"/>
      <c r="G16" s="4"/>
    </row>
    <row r="17" spans="1:7" x14ac:dyDescent="0.2">
      <c r="A17" s="4"/>
      <c r="B17" s="88"/>
      <c r="C17" s="90"/>
      <c r="D17" s="6"/>
      <c r="E17" s="41"/>
      <c r="F17" s="5"/>
      <c r="G17" s="4"/>
    </row>
    <row r="18" spans="1:7" x14ac:dyDescent="0.2">
      <c r="A18" s="4"/>
      <c r="B18" s="88"/>
      <c r="C18" s="90"/>
      <c r="D18" s="6"/>
      <c r="E18" s="41"/>
      <c r="F18" s="5"/>
      <c r="G18" s="4"/>
    </row>
    <row r="19" spans="1:7" x14ac:dyDescent="0.2">
      <c r="A19" s="63"/>
      <c r="B19" s="88"/>
      <c r="C19" s="90"/>
      <c r="D19" s="6"/>
      <c r="E19" s="41"/>
      <c r="F19" s="5"/>
      <c r="G19" s="4"/>
    </row>
    <row r="20" spans="1:7" x14ac:dyDescent="0.2">
      <c r="A20" s="63"/>
      <c r="B20" s="88"/>
      <c r="C20" s="90"/>
      <c r="D20" s="6"/>
      <c r="E20" s="41"/>
      <c r="F20" s="5"/>
      <c r="G20" s="4"/>
    </row>
    <row r="21" spans="1:7" x14ac:dyDescent="0.2">
      <c r="A21" s="63"/>
      <c r="B21" s="88"/>
      <c r="C21" s="90"/>
      <c r="D21" s="6"/>
      <c r="E21" s="41"/>
      <c r="F21" s="5"/>
      <c r="G21" s="4"/>
    </row>
    <row r="22" spans="1:7" x14ac:dyDescent="0.2">
      <c r="A22" s="63"/>
      <c r="B22" s="88"/>
      <c r="C22" s="90"/>
      <c r="D22" s="6"/>
      <c r="E22" s="41"/>
      <c r="F22" s="5"/>
      <c r="G22" s="4"/>
    </row>
  </sheetData>
  <sortState ref="A8:E11">
    <sortCondition descending="1" ref="D8:D11"/>
  </sortState>
  <phoneticPr fontId="9" type="noConversion"/>
  <printOptions horizontalCentered="1"/>
  <pageMargins left="0.75" right="0.75" top="1" bottom="1" header="0.5" footer="0.5"/>
  <pageSetup orientation="portrait" horizontalDpi="1200" verticalDpi="1200" r:id="rId1"/>
  <headerFooter alignWithMargins="0">
    <oddHeader>&amp;L&amp;"Tahoma,Bold"&amp;11U.S. Biathlon Association&amp;R&amp;"Tahoma,Bold"&amp;11 2018 Race Points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"/>
  <sheetViews>
    <sheetView workbookViewId="0">
      <selection activeCell="D17" sqref="D17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380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43111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115"/>
      <c r="G4" s="36"/>
    </row>
    <row r="5" spans="1:7" x14ac:dyDescent="0.2">
      <c r="A5" s="33" t="s">
        <v>14</v>
      </c>
      <c r="B5" s="34" t="s">
        <v>271</v>
      </c>
      <c r="C5" s="35"/>
      <c r="D5" s="35"/>
      <c r="E5" s="35" t="s">
        <v>28</v>
      </c>
      <c r="F5" s="52">
        <f>AVERAGE(C8:C9)*(AVERAGE(D8:D9)/100)</f>
        <v>3.0329666400990246E-2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27</v>
      </c>
      <c r="B8" s="88" t="s">
        <v>58</v>
      </c>
      <c r="C8" s="90">
        <v>3.0922453703703705E-2</v>
      </c>
      <c r="D8" s="6">
        <f>INDEX('Points Summary'!$E$4:$E$672,G8)</f>
        <v>96.883451688838534</v>
      </c>
      <c r="E8" s="41">
        <f>(AVERAGE($D$8:$D$9)/100*AVERAGE($C$8:$C$9))/C8</f>
        <v>0.98082987500301577</v>
      </c>
      <c r="F8" s="5"/>
      <c r="G8" s="4">
        <f>MATCH(B8,'Points Summary'!$B$4:$B$673,0)</f>
        <v>41</v>
      </c>
    </row>
    <row r="9" spans="1:7" x14ac:dyDescent="0.2">
      <c r="A9" s="4">
        <v>57</v>
      </c>
      <c r="B9" s="88" t="s">
        <v>221</v>
      </c>
      <c r="C9" s="90">
        <v>3.1890046296296298E-2</v>
      </c>
      <c r="D9" s="6">
        <f>INDEX('Points Summary'!$E$4:$E$672,G9)</f>
        <v>96.260692556273455</v>
      </c>
      <c r="E9" s="41">
        <f>(AVERAGE($D$8:$D$9)/100*AVERAGE($C$8:$C$9))/C9</f>
        <v>0.95107000219415572</v>
      </c>
      <c r="F9" s="5"/>
      <c r="G9" s="4">
        <f>MATCH(B9,'Points Summary'!$B$4:$B$673,0)</f>
        <v>42</v>
      </c>
    </row>
    <row r="10" spans="1:7" x14ac:dyDescent="0.2">
      <c r="A10" s="4"/>
      <c r="B10" s="88"/>
      <c r="C10" s="90"/>
      <c r="D10" s="6"/>
      <c r="E10" s="41"/>
      <c r="F10" s="5"/>
      <c r="G10" s="4"/>
    </row>
    <row r="11" spans="1:7" x14ac:dyDescent="0.2">
      <c r="A11" s="4"/>
      <c r="B11" s="88"/>
      <c r="C11" s="90"/>
      <c r="D11" s="6"/>
      <c r="E11" s="41"/>
      <c r="F11" s="5"/>
      <c r="G11" s="4"/>
    </row>
    <row r="12" spans="1:7" x14ac:dyDescent="0.2">
      <c r="A12" s="4"/>
      <c r="B12" s="88"/>
      <c r="C12" s="90"/>
      <c r="D12" s="6"/>
      <c r="E12" s="41"/>
      <c r="F12" s="5"/>
      <c r="G12" s="4"/>
    </row>
    <row r="13" spans="1:7" x14ac:dyDescent="0.2">
      <c r="A13" s="83"/>
      <c r="B13" s="202"/>
      <c r="C13" s="89"/>
      <c r="D13" s="6"/>
      <c r="E13" s="41"/>
      <c r="F13" s="5"/>
      <c r="G13" s="4"/>
    </row>
    <row r="14" spans="1:7" x14ac:dyDescent="0.2">
      <c r="A14" s="83"/>
      <c r="B14" s="54"/>
      <c r="C14" s="89"/>
      <c r="D14" s="6"/>
      <c r="E14" s="41"/>
      <c r="F14" s="5"/>
      <c r="G14" s="4"/>
    </row>
    <row r="15" spans="1:7" x14ac:dyDescent="0.2">
      <c r="A15" s="83"/>
      <c r="B15" s="149"/>
      <c r="C15" s="89"/>
      <c r="D15" s="13"/>
      <c r="E15" s="13"/>
      <c r="F15" s="13"/>
      <c r="G15" s="13"/>
    </row>
    <row r="16" spans="1:7" x14ac:dyDescent="0.2">
      <c r="A16" s="13"/>
      <c r="B16" s="149"/>
      <c r="C16" s="89"/>
      <c r="D16" s="13" t="s">
        <v>15</v>
      </c>
      <c r="E16" s="13"/>
      <c r="F16" s="13"/>
      <c r="G16" s="13"/>
    </row>
    <row r="17" spans="1:7" x14ac:dyDescent="0.2">
      <c r="A17" s="13"/>
      <c r="B17" s="149"/>
      <c r="C17" s="89"/>
      <c r="D17" s="13"/>
      <c r="E17" s="13"/>
      <c r="F17" s="13"/>
      <c r="G17" s="13"/>
    </row>
    <row r="18" spans="1:7" x14ac:dyDescent="0.2">
      <c r="A18" s="13"/>
      <c r="B18" s="91"/>
      <c r="C18" s="89"/>
      <c r="D18" s="13"/>
      <c r="E18" s="13"/>
      <c r="F18" s="13"/>
      <c r="G18" s="13"/>
    </row>
    <row r="19" spans="1:7" x14ac:dyDescent="0.2">
      <c r="A19" s="13"/>
      <c r="B19" s="91"/>
      <c r="C19" s="89"/>
      <c r="D19" s="13"/>
      <c r="E19" s="13"/>
      <c r="F19" s="13"/>
      <c r="G19" s="13"/>
    </row>
    <row r="20" spans="1:7" x14ac:dyDescent="0.2">
      <c r="A20" s="13"/>
      <c r="B20" s="91"/>
      <c r="C20" s="89"/>
      <c r="D20" s="13"/>
      <c r="E20" s="13"/>
      <c r="F20" s="13"/>
      <c r="G20" s="13"/>
    </row>
  </sheetData>
  <sortState ref="A8:D12">
    <sortCondition descending="1" ref="D8:D12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&amp;L&amp;"Tahoma,Bold"&amp;11US Biathlon Association&amp;R&amp;"Tahoma,Bold"&amp;11 2018 Race Points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workbookViewId="0">
      <selection activeCell="E8" sqref="E8:E9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381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43113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382</v>
      </c>
      <c r="C5" s="35"/>
      <c r="D5" s="35"/>
      <c r="E5" s="35" t="s">
        <v>28</v>
      </c>
      <c r="F5" s="52">
        <f>AVERAGE(C8:C9)*(AVERAGE(D8:D9)/100)</f>
        <v>1.4352401910378282E-2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42</v>
      </c>
      <c r="B8" s="5" t="s">
        <v>216</v>
      </c>
      <c r="C8" s="90">
        <v>1.6122685185185184E-2</v>
      </c>
      <c r="D8" s="6">
        <f>INDEX('Points Summary'!$E$4:$E$672,G8)</f>
        <v>91.868180810287825</v>
      </c>
      <c r="E8" s="67">
        <f>(AVERAGE($D$8:$D$9)/100*AVERAGE($C$8:$C$9))/C8</f>
        <v>0.89019922832497034</v>
      </c>
      <c r="F8" s="5"/>
      <c r="G8" s="4">
        <f>MATCH(B8,'Points Summary'!$B$4:$B$673,0)</f>
        <v>101</v>
      </c>
      <c r="H8" s="150"/>
      <c r="I8" s="150"/>
    </row>
    <row r="9" spans="1:9" x14ac:dyDescent="0.2">
      <c r="A9" s="4">
        <v>22</v>
      </c>
      <c r="B9" s="88" t="s">
        <v>228</v>
      </c>
      <c r="C9" s="90">
        <v>1.5706018518518518E-2</v>
      </c>
      <c r="D9" s="6">
        <f>INDEX('Points Summary'!$E$4:$E$672,G9)</f>
        <v>88.502368288866123</v>
      </c>
      <c r="E9" s="67">
        <f>(AVERAGE($D$8:$D$9)/100*AVERAGE($C$8:$C$9))/C9</f>
        <v>0.91381542008598649</v>
      </c>
      <c r="F9" s="5"/>
      <c r="G9" s="4">
        <f>MATCH(B9,'Points Summary'!$B$4:$B$673,0)</f>
        <v>81</v>
      </c>
      <c r="H9" s="150"/>
      <c r="I9" s="150"/>
    </row>
    <row r="10" spans="1:9" x14ac:dyDescent="0.2">
      <c r="A10" s="4"/>
      <c r="B10" s="5"/>
      <c r="C10" s="90"/>
      <c r="D10" s="6"/>
      <c r="E10" s="41"/>
      <c r="F10" s="5"/>
      <c r="G10" s="4"/>
      <c r="H10" s="150"/>
      <c r="I10" s="150"/>
    </row>
    <row r="11" spans="1:9" x14ac:dyDescent="0.2">
      <c r="A11" s="4"/>
      <c r="B11" s="5"/>
      <c r="C11" s="90"/>
      <c r="D11" s="6"/>
      <c r="E11" s="41"/>
      <c r="F11" s="5"/>
      <c r="G11" s="4"/>
      <c r="H11" s="150"/>
      <c r="I11" s="150"/>
    </row>
    <row r="12" spans="1:9" x14ac:dyDescent="0.2">
      <c r="A12" s="4"/>
      <c r="B12" s="88"/>
      <c r="C12" s="90"/>
      <c r="D12" s="6"/>
      <c r="E12" s="41"/>
      <c r="F12" s="5"/>
      <c r="G12" s="4"/>
      <c r="H12" s="150"/>
      <c r="I12" s="150"/>
    </row>
    <row r="13" spans="1:9" x14ac:dyDescent="0.2">
      <c r="A13" s="4"/>
      <c r="B13" s="88"/>
      <c r="C13" s="90"/>
      <c r="D13" s="6"/>
      <c r="E13" s="41"/>
      <c r="F13" s="5"/>
      <c r="G13" s="4"/>
      <c r="H13" s="150"/>
      <c r="I13" s="150"/>
    </row>
    <row r="14" spans="1:9" x14ac:dyDescent="0.2">
      <c r="A14" s="4"/>
      <c r="B14" s="88"/>
      <c r="C14" s="90"/>
      <c r="D14" s="6"/>
      <c r="E14" s="41"/>
      <c r="F14" s="5"/>
      <c r="G14" s="4"/>
      <c r="H14" s="150"/>
      <c r="I14" s="150"/>
    </row>
    <row r="15" spans="1:9" x14ac:dyDescent="0.2">
      <c r="A15" s="63"/>
      <c r="B15" s="88"/>
      <c r="C15" s="90"/>
      <c r="D15" s="6"/>
      <c r="E15" s="41"/>
      <c r="F15" s="5"/>
      <c r="G15" s="4"/>
      <c r="H15" s="150"/>
      <c r="I15" s="150"/>
    </row>
    <row r="16" spans="1:9" x14ac:dyDescent="0.2">
      <c r="A16" s="4"/>
      <c r="B16" s="88"/>
      <c r="C16" s="90"/>
      <c r="D16" s="6"/>
      <c r="E16" s="41"/>
      <c r="F16" s="5"/>
      <c r="G16" s="4"/>
      <c r="H16" s="150"/>
      <c r="I16" s="150"/>
    </row>
    <row r="17" spans="1:9" x14ac:dyDescent="0.2">
      <c r="A17" s="4"/>
      <c r="B17" s="88"/>
      <c r="C17" s="90"/>
      <c r="D17" s="6"/>
      <c r="E17" s="41"/>
      <c r="F17" s="5"/>
      <c r="G17" s="4"/>
      <c r="H17" s="150"/>
      <c r="I17" s="150"/>
    </row>
    <row r="18" spans="1:9" x14ac:dyDescent="0.2">
      <c r="A18" s="4"/>
      <c r="B18" s="88"/>
      <c r="C18" s="90"/>
      <c r="D18" s="6"/>
      <c r="E18" s="41"/>
      <c r="F18" s="5"/>
      <c r="G18" s="4"/>
      <c r="H18" s="150"/>
      <c r="I18" s="150"/>
    </row>
    <row r="19" spans="1:9" x14ac:dyDescent="0.2">
      <c r="A19" s="4"/>
      <c r="B19" s="88"/>
      <c r="C19" s="90"/>
      <c r="D19" s="6"/>
      <c r="E19" s="41"/>
      <c r="F19" s="5"/>
      <c r="G19" s="4"/>
      <c r="H19" s="150"/>
      <c r="I19" s="150"/>
    </row>
    <row r="20" spans="1:9" x14ac:dyDescent="0.2">
      <c r="A20" s="4"/>
      <c r="B20" s="88"/>
      <c r="C20" s="90"/>
      <c r="D20" s="6"/>
      <c r="E20" s="41"/>
      <c r="F20" s="5"/>
      <c r="G20" s="4"/>
      <c r="H20" s="150"/>
      <c r="I20" s="150"/>
    </row>
    <row r="21" spans="1:9" x14ac:dyDescent="0.2">
      <c r="A21" s="4"/>
      <c r="B21" s="5"/>
      <c r="C21" s="90"/>
      <c r="D21" s="6"/>
      <c r="E21" s="41"/>
      <c r="F21" s="5"/>
      <c r="G21" s="4"/>
    </row>
    <row r="22" spans="1:9" x14ac:dyDescent="0.2">
      <c r="A22" s="4"/>
      <c r="B22" s="5"/>
      <c r="C22" s="90"/>
      <c r="D22" s="6"/>
      <c r="E22" s="41"/>
      <c r="F22" s="5"/>
      <c r="G22" s="4"/>
    </row>
    <row r="23" spans="1:9" x14ac:dyDescent="0.2">
      <c r="A23" s="4"/>
      <c r="B23" s="5"/>
      <c r="C23" s="90"/>
      <c r="D23" s="6"/>
      <c r="E23" s="41"/>
      <c r="F23" s="5"/>
      <c r="G23" s="4"/>
    </row>
    <row r="24" spans="1:9" x14ac:dyDescent="0.2">
      <c r="A24" s="4"/>
      <c r="B24" s="5"/>
      <c r="C24" s="90"/>
      <c r="D24" s="6"/>
      <c r="E24" s="41"/>
      <c r="F24" s="5"/>
      <c r="G24" s="4"/>
    </row>
    <row r="25" spans="1:9" x14ac:dyDescent="0.2">
      <c r="A25" s="63"/>
      <c r="B25" s="5"/>
      <c r="C25" s="90"/>
      <c r="D25" s="6"/>
      <c r="E25" s="41"/>
      <c r="F25" s="5"/>
      <c r="G25" s="4"/>
    </row>
    <row r="26" spans="1:9" x14ac:dyDescent="0.2">
      <c r="A26" s="4"/>
      <c r="B26" s="5"/>
      <c r="C26" s="90"/>
      <c r="D26" s="6"/>
      <c r="E26" s="41"/>
      <c r="F26" s="5"/>
      <c r="G26" s="4"/>
    </row>
    <row r="27" spans="1:9" x14ac:dyDescent="0.2">
      <c r="A27" s="4"/>
      <c r="B27" s="5"/>
      <c r="C27" s="90"/>
      <c r="D27" s="6"/>
      <c r="E27" s="41"/>
      <c r="F27" s="5"/>
      <c r="G27" s="4"/>
    </row>
    <row r="28" spans="1:9" x14ac:dyDescent="0.2">
      <c r="A28" s="4"/>
      <c r="B28" s="5"/>
      <c r="C28" s="90"/>
      <c r="D28" s="6"/>
      <c r="E28" s="41"/>
      <c r="F28" s="5"/>
      <c r="G28" s="4"/>
    </row>
    <row r="29" spans="1:9" x14ac:dyDescent="0.2">
      <c r="A29" s="4"/>
      <c r="B29" s="5"/>
      <c r="C29" s="90"/>
      <c r="D29" s="6"/>
      <c r="E29" s="41"/>
      <c r="F29" s="5"/>
      <c r="G29" s="4"/>
    </row>
    <row r="30" spans="1:9" x14ac:dyDescent="0.2">
      <c r="A30" s="4"/>
      <c r="B30" s="5"/>
      <c r="C30" s="90"/>
      <c r="D30" s="6"/>
      <c r="E30" s="41"/>
      <c r="F30" s="5"/>
      <c r="G30" s="4"/>
    </row>
  </sheetData>
  <sortState ref="A8:D12">
    <sortCondition descending="1" ref="D8:D12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&amp;L&amp;"Tahoma,Bold"&amp;11US Biathlon Association&amp;R&amp;"Tahoma,Bold"&amp;11 2018 Race Points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0"/>
  <sheetViews>
    <sheetView workbookViewId="0">
      <selection activeCell="F7" sqref="F7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383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43114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384</v>
      </c>
      <c r="C5" s="35"/>
      <c r="D5" s="35"/>
      <c r="E5" s="35" t="s">
        <v>28</v>
      </c>
      <c r="F5" s="52">
        <f>AVERAGE(C8:C10)*(AVERAGE(D8:D10)/100)</f>
        <v>2.3970203560431457E-2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223</v>
      </c>
      <c r="C8" s="90">
        <v>3.2175925925925927E-2</v>
      </c>
      <c r="D8" s="6">
        <f>INDEX('Points Summary'!$E$4:$E$672,G8)</f>
        <v>77.229612245088475</v>
      </c>
      <c r="E8" s="67">
        <f>(AVERAGE($D$8:$D$10)/100*AVERAGE($C$8:$C$10))/C8</f>
        <v>0.74497323295729423</v>
      </c>
      <c r="F8" s="5"/>
      <c r="G8" s="4">
        <f>MATCH(B8,'Points Summary'!$B$4:$B$673,0)</f>
        <v>59</v>
      </c>
      <c r="H8" s="150"/>
      <c r="I8" s="150"/>
    </row>
    <row r="9" spans="1:9" x14ac:dyDescent="0.2">
      <c r="A9" s="4">
        <v>3</v>
      </c>
      <c r="B9" s="88" t="s">
        <v>353</v>
      </c>
      <c r="C9" s="90">
        <v>3.7962962962962962E-2</v>
      </c>
      <c r="D9" s="6">
        <f>INDEX('Points Summary'!$E$4:$E$672,G9)</f>
        <v>65.905105652003328</v>
      </c>
      <c r="E9" s="67">
        <f t="shared" ref="E9:E11" si="0">(AVERAGE($D$8:$D$10)/100*AVERAGE($C$8:$C$10))/C9</f>
        <v>0.63141024012843838</v>
      </c>
      <c r="F9" s="5"/>
      <c r="G9" s="4">
        <f>MATCH(B9,'Points Summary'!$B$4:$B$673,0)</f>
        <v>22</v>
      </c>
      <c r="H9" s="150"/>
      <c r="I9" s="150"/>
    </row>
    <row r="10" spans="1:9" x14ac:dyDescent="0.2">
      <c r="A10" s="4">
        <v>2</v>
      </c>
      <c r="B10" s="88" t="s">
        <v>250</v>
      </c>
      <c r="C10" s="90">
        <v>3.6157407407407409E-2</v>
      </c>
      <c r="D10" s="6">
        <f>INDEX('Points Summary'!$E$4:$E$672,G10)</f>
        <v>59.81857357276337</v>
      </c>
      <c r="E10" s="67">
        <f t="shared" si="0"/>
        <v>0.66294032894407096</v>
      </c>
      <c r="F10" s="5"/>
      <c r="G10" s="4">
        <f>MATCH(B10,'Points Summary'!$B$4:$B$673,0)</f>
        <v>26</v>
      </c>
      <c r="H10" s="150"/>
      <c r="I10" s="150"/>
    </row>
    <row r="11" spans="1:9" x14ac:dyDescent="0.2">
      <c r="A11" s="4">
        <v>4</v>
      </c>
      <c r="B11" s="5" t="s">
        <v>356</v>
      </c>
      <c r="C11" s="90">
        <v>4.0173611111111111E-2</v>
      </c>
      <c r="D11" s="6">
        <f>INDEX('Points Summary'!$E$4:$E$672,G11)</f>
        <v>55.791968673404469</v>
      </c>
      <c r="E11" s="67">
        <f t="shared" si="0"/>
        <v>0.59666539545412789</v>
      </c>
      <c r="F11" s="5"/>
      <c r="G11" s="4">
        <f>MATCH(B11,'Points Summary'!$B$4:$B$673,0)</f>
        <v>138</v>
      </c>
      <c r="H11" s="150"/>
      <c r="I11" s="150"/>
    </row>
    <row r="12" spans="1:9" x14ac:dyDescent="0.2">
      <c r="A12" s="4"/>
      <c r="B12" s="5"/>
      <c r="C12" s="90"/>
      <c r="D12" s="6"/>
      <c r="E12" s="41"/>
      <c r="F12" s="5"/>
      <c r="G12" s="4"/>
      <c r="H12" s="150"/>
      <c r="I12" s="150"/>
    </row>
    <row r="13" spans="1:9" x14ac:dyDescent="0.2">
      <c r="A13" s="4"/>
      <c r="B13" s="5"/>
      <c r="C13" s="90"/>
      <c r="D13" s="6"/>
      <c r="E13" s="41"/>
      <c r="F13" s="5"/>
      <c r="G13" s="4"/>
      <c r="H13" s="150"/>
      <c r="I13" s="150"/>
    </row>
    <row r="14" spans="1:9" x14ac:dyDescent="0.2">
      <c r="A14" s="4"/>
      <c r="B14" s="5"/>
      <c r="C14" s="90"/>
      <c r="D14" s="6"/>
      <c r="E14" s="41"/>
      <c r="F14" s="5"/>
      <c r="G14" s="4"/>
      <c r="H14" s="150"/>
      <c r="I14" s="150"/>
    </row>
    <row r="15" spans="1:9" x14ac:dyDescent="0.2">
      <c r="A15" s="4"/>
      <c r="B15" s="88"/>
      <c r="C15" s="90"/>
      <c r="D15" s="6"/>
      <c r="E15" s="41"/>
      <c r="F15" s="5"/>
      <c r="G15" s="4"/>
      <c r="H15" s="150"/>
      <c r="I15" s="150"/>
    </row>
    <row r="16" spans="1:9" x14ac:dyDescent="0.2">
      <c r="A16" s="4"/>
      <c r="B16" s="5"/>
      <c r="C16" s="90"/>
      <c r="D16" s="6"/>
      <c r="E16" s="41"/>
      <c r="F16" s="5"/>
      <c r="G16" s="4"/>
      <c r="H16" s="150"/>
      <c r="I16" s="150"/>
    </row>
    <row r="17" spans="1:9" x14ac:dyDescent="0.2">
      <c r="A17" s="4"/>
      <c r="B17" s="5"/>
      <c r="C17" s="90"/>
      <c r="D17" s="6"/>
      <c r="E17" s="41"/>
      <c r="F17" s="5"/>
      <c r="G17" s="4"/>
      <c r="H17" s="150"/>
      <c r="I17" s="150"/>
    </row>
    <row r="18" spans="1:9" x14ac:dyDescent="0.2">
      <c r="A18" s="4"/>
      <c r="B18" s="5"/>
      <c r="C18" s="90"/>
      <c r="D18" s="6"/>
      <c r="E18" s="41"/>
      <c r="F18" s="5"/>
      <c r="G18" s="4"/>
      <c r="H18" s="150"/>
      <c r="I18" s="150"/>
    </row>
    <row r="19" spans="1:9" x14ac:dyDescent="0.2">
      <c r="A19" s="4"/>
      <c r="B19" s="5"/>
      <c r="C19" s="90"/>
      <c r="D19" s="6"/>
      <c r="E19" s="41"/>
      <c r="F19" s="5"/>
      <c r="G19" s="4"/>
      <c r="H19" s="150"/>
      <c r="I19" s="150"/>
    </row>
    <row r="20" spans="1:9" x14ac:dyDescent="0.2">
      <c r="A20" s="4"/>
      <c r="B20" s="5"/>
      <c r="C20" s="90"/>
      <c r="D20" s="6"/>
      <c r="E20" s="41"/>
      <c r="F20" s="5"/>
      <c r="G20" s="4"/>
      <c r="H20" s="150"/>
      <c r="I20" s="150"/>
    </row>
    <row r="21" spans="1:9" x14ac:dyDescent="0.2">
      <c r="A21" s="4"/>
      <c r="B21" s="5"/>
      <c r="C21" s="90"/>
      <c r="D21" s="6"/>
      <c r="E21" s="41"/>
      <c r="F21" s="5"/>
      <c r="G21" s="4"/>
    </row>
    <row r="22" spans="1:9" x14ac:dyDescent="0.2">
      <c r="A22" s="4"/>
      <c r="B22" s="5"/>
      <c r="C22" s="40"/>
      <c r="D22" s="6"/>
      <c r="E22" s="41"/>
      <c r="F22" s="5"/>
      <c r="G22" s="4"/>
    </row>
    <row r="23" spans="1:9" x14ac:dyDescent="0.2">
      <c r="A23" s="4"/>
      <c r="B23" s="5"/>
      <c r="C23" s="40"/>
      <c r="D23" s="6"/>
      <c r="E23" s="41"/>
      <c r="F23" s="5"/>
      <c r="G23" s="4"/>
    </row>
    <row r="24" spans="1:9" x14ac:dyDescent="0.2">
      <c r="A24" s="4"/>
      <c r="B24" s="5"/>
      <c r="C24" s="40"/>
      <c r="D24" s="6"/>
      <c r="E24" s="41"/>
      <c r="F24" s="5"/>
      <c r="G24" s="4"/>
    </row>
    <row r="25" spans="1:9" x14ac:dyDescent="0.2">
      <c r="A25" s="63"/>
      <c r="B25" s="5"/>
      <c r="C25" s="40"/>
      <c r="D25" s="6"/>
      <c r="E25" s="41"/>
      <c r="F25" s="5"/>
      <c r="G25" s="4"/>
    </row>
    <row r="26" spans="1:9" x14ac:dyDescent="0.2">
      <c r="A26" s="63"/>
      <c r="B26" s="5"/>
      <c r="C26" s="40"/>
      <c r="D26" s="6"/>
      <c r="E26" s="41"/>
      <c r="F26" s="5"/>
      <c r="G26" s="4"/>
    </row>
    <row r="27" spans="1:9" x14ac:dyDescent="0.2">
      <c r="A27" s="63"/>
      <c r="B27" s="5"/>
      <c r="C27" s="40"/>
      <c r="D27" s="6"/>
      <c r="E27" s="41"/>
      <c r="F27" s="5"/>
      <c r="G27" s="4"/>
    </row>
    <row r="28" spans="1:9" x14ac:dyDescent="0.2">
      <c r="A28" s="63"/>
      <c r="B28" s="5"/>
      <c r="C28" s="40"/>
      <c r="D28" s="6"/>
      <c r="E28" s="41"/>
      <c r="F28" s="5"/>
      <c r="G28" s="4"/>
    </row>
    <row r="29" spans="1:9" x14ac:dyDescent="0.2">
      <c r="A29" s="63"/>
      <c r="B29" s="5"/>
      <c r="C29" s="40"/>
      <c r="D29" s="6"/>
      <c r="E29" s="41"/>
      <c r="F29" s="5"/>
      <c r="G29" s="4"/>
    </row>
    <row r="30" spans="1:9" x14ac:dyDescent="0.2">
      <c r="A30" s="63"/>
      <c r="B30" s="5"/>
      <c r="C30" s="40"/>
      <c r="D30" s="6"/>
      <c r="E30" s="41"/>
      <c r="F30" s="5"/>
      <c r="G30" s="4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&amp;L&amp;"Tahoma,Bold"&amp;11US Biathlon Association&amp;R&amp;"Tahoma,Bold"&amp;11 2018 Race Points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workbookViewId="0">
      <selection activeCell="D8" sqref="D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385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43118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283</v>
      </c>
      <c r="C5" s="35"/>
      <c r="D5" s="35"/>
      <c r="E5" s="35" t="s">
        <v>28</v>
      </c>
      <c r="F5" s="52">
        <f>AVERAGE(C8:C10)*(AVERAGE(D8:D10)/100)</f>
        <v>1.5419851962614235E-2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35</v>
      </c>
      <c r="B8" s="5" t="s">
        <v>58</v>
      </c>
      <c r="C8" s="90">
        <v>1.5912037037037037E-2</v>
      </c>
      <c r="D8" s="6">
        <f>INDEX('Points Summary'!$E$4:$E$672,G8)</f>
        <v>96.883451688838534</v>
      </c>
      <c r="E8" s="67">
        <f>(AVERAGE($D$8:$D$10)/100*AVERAGE($C$8:$C$10))/C8</f>
        <v>0.96906838054252975</v>
      </c>
      <c r="F8" s="5"/>
      <c r="G8" s="4">
        <f>MATCH(B8,'Points Summary'!$B$4:$B$673,0)</f>
        <v>41</v>
      </c>
      <c r="H8" s="150"/>
      <c r="I8" s="150"/>
    </row>
    <row r="9" spans="1:9" x14ac:dyDescent="0.2">
      <c r="A9" s="4">
        <v>56</v>
      </c>
      <c r="B9" s="88" t="s">
        <v>221</v>
      </c>
      <c r="C9" s="90">
        <v>1.6230324074074074E-2</v>
      </c>
      <c r="D9" s="6">
        <f>INDEX('Points Summary'!$E$4:$E$672,G9)</f>
        <v>96.260692556273455</v>
      </c>
      <c r="E9" s="67">
        <f>(AVERAGE($D$8:$D$10)/100*AVERAGE($C$8:$C$10))/C9</f>
        <v>0.95006432972250576</v>
      </c>
      <c r="F9" s="5"/>
      <c r="G9" s="4">
        <f>MATCH(B9,'Points Summary'!$B$4:$B$673,0)</f>
        <v>42</v>
      </c>
      <c r="H9" s="150"/>
      <c r="I9" s="150"/>
    </row>
    <row r="10" spans="1:9" x14ac:dyDescent="0.2">
      <c r="A10" s="4">
        <v>59</v>
      </c>
      <c r="B10" s="88" t="s">
        <v>248</v>
      </c>
      <c r="C10" s="90">
        <v>1.6343750000000001E-2</v>
      </c>
      <c r="D10" s="6">
        <f>INDEX('Points Summary'!$E$4:$E$672,G10)</f>
        <v>93.079404072677221</v>
      </c>
      <c r="E10" s="67">
        <f>(AVERAGE($D$8:$D$10)/100*AVERAGE($C$8:$C$10))/C10</f>
        <v>0.94347086578136807</v>
      </c>
      <c r="F10" s="5"/>
      <c r="G10" s="4">
        <f>MATCH(B10,'Points Summary'!$B$4:$B$673,0)</f>
        <v>40</v>
      </c>
      <c r="H10" s="150"/>
      <c r="I10" s="150"/>
    </row>
    <row r="11" spans="1:9" x14ac:dyDescent="0.2">
      <c r="A11" s="4">
        <v>72</v>
      </c>
      <c r="B11" s="5" t="s">
        <v>249</v>
      </c>
      <c r="C11" s="90">
        <v>1.6538194444444446E-2</v>
      </c>
      <c r="D11" s="6">
        <f>INDEX('Points Summary'!$E$4:$E$672,G11)</f>
        <v>92.732138127112805</v>
      </c>
      <c r="E11" s="67">
        <f>(AVERAGE($D$8:$D$10)/100*AVERAGE($C$8:$C$10))/C11</f>
        <v>0.93237819971297486</v>
      </c>
      <c r="F11" s="5"/>
      <c r="G11" s="4">
        <f>MATCH(B11,'Points Summary'!$B$4:$B$673,0)</f>
        <v>106</v>
      </c>
      <c r="H11" s="150"/>
      <c r="I11" s="150"/>
    </row>
    <row r="12" spans="1:9" x14ac:dyDescent="0.2">
      <c r="A12" s="4"/>
      <c r="B12" s="5"/>
      <c r="C12" s="90"/>
      <c r="D12" s="6"/>
      <c r="E12" s="41"/>
      <c r="F12" s="5"/>
      <c r="G12" s="4"/>
      <c r="H12" s="150"/>
      <c r="I12" s="150"/>
    </row>
    <row r="13" spans="1:9" x14ac:dyDescent="0.2">
      <c r="A13" s="4"/>
      <c r="B13" s="5"/>
      <c r="C13" s="90"/>
      <c r="D13" s="90"/>
      <c r="E13" s="90"/>
      <c r="F13" s="90"/>
      <c r="G13" s="4"/>
      <c r="H13" s="150"/>
      <c r="I13" s="150"/>
    </row>
    <row r="14" spans="1:9" x14ac:dyDescent="0.2">
      <c r="A14" s="4"/>
      <c r="B14" s="88" t="s">
        <v>15</v>
      </c>
      <c r="C14" s="90"/>
      <c r="D14" s="90"/>
      <c r="E14" s="90"/>
      <c r="F14" s="90"/>
      <c r="G14" s="4"/>
      <c r="H14" s="150"/>
      <c r="I14" s="150"/>
    </row>
    <row r="15" spans="1:9" x14ac:dyDescent="0.2">
      <c r="A15" s="4"/>
      <c r="B15" s="5"/>
      <c r="C15" s="90"/>
      <c r="D15" s="6"/>
      <c r="E15" s="41"/>
      <c r="F15" s="5"/>
      <c r="G15" s="4"/>
      <c r="H15" s="150"/>
      <c r="I15" s="150"/>
    </row>
    <row r="16" spans="1:9" x14ac:dyDescent="0.2">
      <c r="A16" s="4"/>
      <c r="B16" s="5"/>
      <c r="C16" s="90"/>
      <c r="D16" s="6"/>
      <c r="E16" s="41"/>
      <c r="F16" s="5"/>
      <c r="G16" s="4"/>
      <c r="H16" s="150"/>
      <c r="I16" s="150"/>
    </row>
    <row r="17" spans="1:9" x14ac:dyDescent="0.2">
      <c r="A17" s="4"/>
      <c r="B17" s="5"/>
      <c r="C17" s="90"/>
      <c r="D17" s="6"/>
      <c r="E17" s="41"/>
      <c r="F17" s="5"/>
      <c r="G17" s="4"/>
      <c r="H17" s="150"/>
      <c r="I17" s="150"/>
    </row>
    <row r="18" spans="1:9" x14ac:dyDescent="0.2">
      <c r="A18" s="4"/>
      <c r="B18" s="5"/>
      <c r="C18" s="90"/>
      <c r="D18" s="6"/>
      <c r="E18" s="41"/>
      <c r="F18" s="5"/>
      <c r="G18" s="4"/>
      <c r="H18" s="150"/>
      <c r="I18" s="150"/>
    </row>
    <row r="19" spans="1:9" x14ac:dyDescent="0.2">
      <c r="A19" s="4"/>
      <c r="B19" s="5"/>
      <c r="C19" s="90"/>
      <c r="D19" s="6"/>
      <c r="E19" s="41"/>
      <c r="F19" s="5"/>
      <c r="G19" s="4"/>
      <c r="H19" s="150"/>
      <c r="I19" s="150"/>
    </row>
    <row r="20" spans="1:9" x14ac:dyDescent="0.2">
      <c r="A20" s="4"/>
      <c r="B20" s="88"/>
      <c r="C20" s="90"/>
      <c r="D20" s="6"/>
      <c r="E20" s="41"/>
      <c r="F20" s="5"/>
      <c r="G20" s="4"/>
      <c r="H20" s="150"/>
      <c r="I20" s="150"/>
    </row>
    <row r="21" spans="1:9" x14ac:dyDescent="0.2">
      <c r="A21" s="4"/>
      <c r="B21" s="88"/>
      <c r="C21" s="90"/>
      <c r="D21" s="6"/>
      <c r="E21" s="41"/>
      <c r="F21" s="5"/>
      <c r="G21" s="4"/>
      <c r="H21" s="150"/>
      <c r="I21" s="150"/>
    </row>
    <row r="22" spans="1:9" x14ac:dyDescent="0.2">
      <c r="A22" s="4"/>
      <c r="B22" s="88"/>
      <c r="C22" s="90"/>
      <c r="D22" s="6"/>
      <c r="E22" s="41"/>
      <c r="F22" s="5"/>
      <c r="G22" s="4"/>
    </row>
    <row r="23" spans="1:9" x14ac:dyDescent="0.2">
      <c r="A23" s="4"/>
      <c r="B23" s="5"/>
      <c r="C23" s="60"/>
      <c r="D23" s="6"/>
      <c r="E23" s="41"/>
      <c r="F23" s="5"/>
      <c r="G23" s="4"/>
    </row>
    <row r="24" spans="1:9" x14ac:dyDescent="0.2">
      <c r="A24" s="4"/>
      <c r="B24" s="5"/>
      <c r="C24" s="60"/>
      <c r="D24" s="6"/>
      <c r="E24" s="41"/>
      <c r="F24" s="5"/>
      <c r="G24" s="4"/>
    </row>
    <row r="25" spans="1:9" x14ac:dyDescent="0.2">
      <c r="A25" s="4"/>
      <c r="B25" s="5"/>
      <c r="C25" s="60"/>
      <c r="D25" s="6"/>
      <c r="E25" s="41"/>
      <c r="F25" s="5"/>
      <c r="G25" s="4"/>
    </row>
    <row r="26" spans="1:9" x14ac:dyDescent="0.2">
      <c r="A26" s="4"/>
      <c r="B26" s="5"/>
      <c r="C26" s="60"/>
      <c r="D26" s="6"/>
      <c r="E26" s="41"/>
      <c r="F26" s="5"/>
      <c r="G26" s="4"/>
    </row>
    <row r="27" spans="1:9" x14ac:dyDescent="0.2">
      <c r="A27" s="4"/>
      <c r="B27" s="5"/>
      <c r="C27" s="60"/>
      <c r="D27" s="6"/>
      <c r="E27" s="41"/>
      <c r="F27" s="5"/>
      <c r="G27" s="4"/>
    </row>
  </sheetData>
  <sortState ref="A8:E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&amp;L&amp;"Tahoma,Bold"&amp;11US Biathlon Association&amp;R&amp;"Tahoma,Bold"&amp;11 2018 Race Points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7"/>
  <sheetViews>
    <sheetView zoomScaleNormal="100" workbookViewId="0">
      <selection activeCell="C8" sqref="C8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7" x14ac:dyDescent="0.2">
      <c r="A1" s="29" t="s">
        <v>10</v>
      </c>
      <c r="B1" s="30" t="s">
        <v>385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42755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386</v>
      </c>
      <c r="C5" s="35"/>
      <c r="D5" s="35"/>
      <c r="E5" s="35" t="s">
        <v>28</v>
      </c>
      <c r="F5" s="52">
        <f>AVERAGE(C8:C9)*(AVERAGE(D8:D9)/100)</f>
        <v>2.1436082062502759E-2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37</v>
      </c>
      <c r="B8" s="5" t="s">
        <v>221</v>
      </c>
      <c r="C8" s="90">
        <f>E13-F13</f>
        <v>2.1730324074074072E-2</v>
      </c>
      <c r="D8" s="6">
        <f>INDEX('Points Summary'!$E$4:$E$672,G8)</f>
        <v>96.260692556273455</v>
      </c>
      <c r="E8" s="41">
        <f>(AVERAGE($D$8:$D$10)/100*AVERAGE($C$8:$C$10))/C8</f>
        <v>0.9864593822637755</v>
      </c>
      <c r="F8" s="5"/>
      <c r="G8" s="4">
        <f>MATCH(B8,'Points Summary'!$B$4:$B$673,0)</f>
        <v>42</v>
      </c>
    </row>
    <row r="9" spans="1:7" x14ac:dyDescent="0.2">
      <c r="A9" s="4">
        <v>79</v>
      </c>
      <c r="B9" s="5" t="s">
        <v>247</v>
      </c>
      <c r="C9" s="90">
        <f>E14-F13</f>
        <v>2.3555555555555555E-2</v>
      </c>
      <c r="D9" s="6">
        <f>INDEX('Points Summary'!$E$4:$E$672,G9)</f>
        <v>93.079404072677221</v>
      </c>
      <c r="E9" s="41">
        <f t="shared" ref="E9" si="0">(AVERAGE($D$8:$D$10)/100*AVERAGE($C$8:$C$10))/C9</f>
        <v>0.91002235171002277</v>
      </c>
      <c r="F9" s="5"/>
      <c r="G9" s="4">
        <f>MATCH(B9,'Points Summary'!$B$4:$B$673,0)</f>
        <v>40</v>
      </c>
    </row>
    <row r="10" spans="1:7" x14ac:dyDescent="0.2">
      <c r="A10" s="4"/>
      <c r="B10" s="5"/>
      <c r="C10" s="90"/>
      <c r="D10" s="6"/>
      <c r="E10" s="41"/>
      <c r="F10" s="5"/>
      <c r="G10" s="4"/>
    </row>
    <row r="11" spans="1:7" x14ac:dyDescent="0.2">
      <c r="A11" s="4"/>
      <c r="B11" s="5"/>
      <c r="C11" s="90"/>
      <c r="D11" s="6"/>
      <c r="E11" s="41"/>
      <c r="F11" s="5"/>
      <c r="G11" s="4"/>
    </row>
    <row r="12" spans="1:7" x14ac:dyDescent="0.2">
      <c r="A12" s="4"/>
      <c r="B12" s="5"/>
      <c r="C12" s="90"/>
      <c r="D12" s="6"/>
      <c r="E12" s="41"/>
      <c r="F12" s="5"/>
      <c r="G12" s="4"/>
    </row>
    <row r="13" spans="1:7" x14ac:dyDescent="0.2">
      <c r="A13" s="4"/>
      <c r="B13" s="5"/>
      <c r="C13" s="90">
        <v>2.0659722222222222E-2</v>
      </c>
      <c r="D13" s="90">
        <v>2.6562500000000002E-3</v>
      </c>
      <c r="E13" s="40">
        <f>C13+D13</f>
        <v>2.3315972222222221E-2</v>
      </c>
      <c r="F13" s="90">
        <f>TIME(0,2,17)</f>
        <v>1.5856481481481479E-3</v>
      </c>
      <c r="G13" s="4"/>
    </row>
    <row r="14" spans="1:7" x14ac:dyDescent="0.2">
      <c r="A14" s="4"/>
      <c r="B14" s="88"/>
      <c r="C14" s="90">
        <v>2.0659722222222222E-2</v>
      </c>
      <c r="D14" s="90">
        <v>4.4814814814814813E-3</v>
      </c>
      <c r="E14" s="40">
        <f>C14+D14</f>
        <v>2.5141203703703704E-2</v>
      </c>
      <c r="F14" s="90">
        <f>TIME(0,2,27)</f>
        <v>1.7013888888888892E-3</v>
      </c>
      <c r="G14" s="4"/>
    </row>
    <row r="15" spans="1:7" x14ac:dyDescent="0.2">
      <c r="A15" s="4"/>
      <c r="B15" s="5"/>
      <c r="C15" s="90"/>
      <c r="D15" s="90"/>
      <c r="E15" s="90"/>
      <c r="F15" s="5"/>
      <c r="G15" s="4"/>
    </row>
    <row r="16" spans="1:7" x14ac:dyDescent="0.2">
      <c r="A16" s="4"/>
      <c r="B16" s="5"/>
      <c r="C16" s="90"/>
      <c r="D16" s="6"/>
      <c r="E16" s="41"/>
      <c r="F16" s="5"/>
      <c r="G16" s="4"/>
    </row>
    <row r="17" spans="1:7" x14ac:dyDescent="0.2">
      <c r="A17" s="4"/>
      <c r="B17" s="5"/>
      <c r="C17" s="90"/>
      <c r="D17" s="6"/>
      <c r="E17" s="41"/>
      <c r="F17" s="5"/>
      <c r="G17" s="4"/>
    </row>
    <row r="18" spans="1:7" x14ac:dyDescent="0.2">
      <c r="A18" s="4"/>
      <c r="B18" s="5"/>
      <c r="C18" s="90"/>
      <c r="D18" s="6"/>
      <c r="E18" s="41"/>
      <c r="F18" s="5"/>
      <c r="G18" s="4"/>
    </row>
    <row r="19" spans="1:7" x14ac:dyDescent="0.2">
      <c r="A19" s="4"/>
      <c r="B19" s="5"/>
      <c r="C19" s="90"/>
      <c r="D19" s="6"/>
      <c r="E19" s="41"/>
      <c r="F19" s="5"/>
      <c r="G19" s="4"/>
    </row>
    <row r="20" spans="1:7" x14ac:dyDescent="0.2">
      <c r="A20" s="4"/>
      <c r="B20" s="88"/>
      <c r="C20" s="90"/>
      <c r="D20" s="6"/>
      <c r="E20" s="41"/>
      <c r="F20" s="5"/>
      <c r="G20" s="4"/>
    </row>
    <row r="21" spans="1:7" x14ac:dyDescent="0.2">
      <c r="A21" s="4"/>
      <c r="B21" s="88"/>
      <c r="C21" s="90"/>
      <c r="D21" s="6"/>
      <c r="E21" s="41"/>
      <c r="F21" s="5"/>
      <c r="G21" s="4"/>
    </row>
    <row r="22" spans="1:7" x14ac:dyDescent="0.2">
      <c r="A22" s="4"/>
      <c r="B22" s="88"/>
      <c r="C22" s="90"/>
      <c r="D22" s="6"/>
      <c r="E22" s="41"/>
      <c r="F22" s="5"/>
      <c r="G22" s="4"/>
    </row>
    <row r="23" spans="1:7" x14ac:dyDescent="0.2">
      <c r="A23" s="4"/>
      <c r="B23" s="5"/>
      <c r="C23" s="60"/>
      <c r="D23" s="6"/>
      <c r="E23" s="41"/>
      <c r="F23" s="5"/>
      <c r="G23" s="4"/>
    </row>
    <row r="24" spans="1:7" x14ac:dyDescent="0.2">
      <c r="A24" s="4"/>
      <c r="B24" s="5"/>
      <c r="C24" s="60"/>
      <c r="D24" s="6"/>
      <c r="E24" s="41"/>
      <c r="F24" s="5"/>
      <c r="G24" s="4"/>
    </row>
    <row r="25" spans="1:7" x14ac:dyDescent="0.2">
      <c r="A25" s="4"/>
      <c r="B25" s="5"/>
      <c r="C25" s="60"/>
      <c r="D25" s="6"/>
      <c r="E25" s="41"/>
      <c r="F25" s="5"/>
      <c r="G25" s="4"/>
    </row>
    <row r="26" spans="1:7" x14ac:dyDescent="0.2">
      <c r="A26" s="4"/>
      <c r="B26" s="5"/>
      <c r="C26" s="60"/>
      <c r="D26" s="6"/>
      <c r="E26" s="41"/>
      <c r="F26" s="5"/>
      <c r="G26" s="4"/>
    </row>
    <row r="27" spans="1:7" x14ac:dyDescent="0.2">
      <c r="A27" s="4"/>
      <c r="B27" s="5"/>
      <c r="C27" s="60"/>
      <c r="D27" s="6"/>
      <c r="E27" s="41"/>
      <c r="F27" s="5"/>
      <c r="G27" s="4"/>
    </row>
  </sheetData>
  <sortState ref="A8:D19">
    <sortCondition descending="1" ref="D8:D19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3"/>
  <sheetViews>
    <sheetView workbookViewId="0">
      <selection activeCell="C8" sqref="C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387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43120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2.2174304809439705E-2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4</v>
      </c>
      <c r="B8" s="5" t="s">
        <v>318</v>
      </c>
      <c r="C8" s="90">
        <v>4.1215277777777774E-2</v>
      </c>
      <c r="D8" s="6">
        <f>INDEX('Points Summary'!$E$4:$E$672,G8)</f>
        <v>51.877018016687813</v>
      </c>
      <c r="E8" s="41">
        <f>(AVERAGE($D$8:$D$10)/100*AVERAGE($C$8:$C$10))/C8</f>
        <v>0.53801177633686903</v>
      </c>
      <c r="F8" s="5"/>
      <c r="G8" s="4">
        <f>MATCH(B8,'Points Summary'!$B$4:$B$673,0)</f>
        <v>13</v>
      </c>
    </row>
    <row r="9" spans="1:7" x14ac:dyDescent="0.2">
      <c r="A9" s="4">
        <v>3</v>
      </c>
      <c r="B9" s="88" t="s">
        <v>315</v>
      </c>
      <c r="C9" s="90">
        <v>4.0740740740740737E-2</v>
      </c>
      <c r="D9" s="6">
        <f>INDEX('Points Summary'!$E$4:$E$672,G9)</f>
        <v>50.514713516710543</v>
      </c>
      <c r="E9" s="41">
        <f>(AVERAGE($D$8:$D$10)/100*AVERAGE($C$8:$C$10))/C9</f>
        <v>0.54427839077715645</v>
      </c>
      <c r="F9" s="5"/>
      <c r="G9" s="4">
        <f>MATCH(B9,'Points Summary'!$B$4:$B$673,0)</f>
        <v>141</v>
      </c>
    </row>
    <row r="10" spans="1:7" x14ac:dyDescent="0.2">
      <c r="A10" s="4">
        <v>1</v>
      </c>
      <c r="B10" s="88" t="s">
        <v>94</v>
      </c>
      <c r="C10" s="90">
        <v>4.9444444444444437E-2</v>
      </c>
      <c r="D10" s="6">
        <f>INDEX('Points Summary'!$E$4:$E$672,G10)</f>
        <v>49.486533417014016</v>
      </c>
      <c r="E10" s="41">
        <f>(AVERAGE($D$8:$D$10)/100*AVERAGE($C$8:$C$10))/C10</f>
        <v>0.44846908603361207</v>
      </c>
      <c r="F10" s="5"/>
      <c r="G10" s="4">
        <f>MATCH(B10,'Points Summary'!$B$4:$B$673,0)</f>
        <v>18</v>
      </c>
    </row>
    <row r="11" spans="1:7" x14ac:dyDescent="0.2">
      <c r="A11" s="4">
        <v>6</v>
      </c>
      <c r="B11" s="88" t="s">
        <v>83</v>
      </c>
      <c r="C11" s="90">
        <v>4.4548611111111108E-2</v>
      </c>
      <c r="D11" s="6">
        <f>INDEX('Points Summary'!$E$4:$E$672,G11)</f>
        <v>44.122608681632663</v>
      </c>
      <c r="E11" s="41">
        <f>(AVERAGE($D$8:$D$10)/100*AVERAGE($C$8:$C$10))/C11</f>
        <v>0.49775524435842833</v>
      </c>
      <c r="F11" s="5"/>
      <c r="G11" s="4">
        <f>MATCH(B11,'Points Summary'!$B$4:$B$673,0)</f>
        <v>6</v>
      </c>
    </row>
    <row r="12" spans="1:7" x14ac:dyDescent="0.2">
      <c r="A12" s="4">
        <v>7</v>
      </c>
      <c r="B12" s="88" t="s">
        <v>316</v>
      </c>
      <c r="C12" s="90">
        <v>5.7326388888888892E-2</v>
      </c>
      <c r="D12" s="6">
        <f>INDEX('Points Summary'!$E$4:$E$672,G12)</f>
        <v>31.480806867006041</v>
      </c>
      <c r="E12" s="41">
        <f>(AVERAGE($D$8:$D$10)/100*AVERAGE($C$8:$C$10))/C12</f>
        <v>0.38680798213922679</v>
      </c>
      <c r="F12" s="5"/>
      <c r="G12" s="4">
        <f>MATCH(B12,'Points Summary'!$B$4:$B$673,0)</f>
        <v>30</v>
      </c>
    </row>
    <row r="13" spans="1:7" x14ac:dyDescent="0.2">
      <c r="A13" s="4"/>
      <c r="B13" s="88"/>
      <c r="C13" s="90"/>
      <c r="D13" s="6"/>
      <c r="E13" s="41"/>
      <c r="F13" s="5"/>
      <c r="G13" s="4"/>
    </row>
    <row r="14" spans="1:7" x14ac:dyDescent="0.2">
      <c r="A14" s="4"/>
      <c r="B14" s="88"/>
      <c r="C14" s="90"/>
      <c r="D14" s="6"/>
      <c r="E14" s="41"/>
      <c r="F14" s="5"/>
      <c r="G14" s="4"/>
    </row>
    <row r="15" spans="1:7" x14ac:dyDescent="0.2">
      <c r="A15" s="4"/>
      <c r="B15" s="88"/>
      <c r="C15" s="90"/>
      <c r="D15" s="6"/>
      <c r="E15" s="41"/>
      <c r="F15" s="5"/>
      <c r="G15" s="4"/>
    </row>
    <row r="16" spans="1:7" x14ac:dyDescent="0.2">
      <c r="A16" s="4"/>
      <c r="B16" s="88"/>
      <c r="C16" s="90"/>
      <c r="D16" s="6"/>
      <c r="E16" s="41"/>
      <c r="F16" s="5"/>
      <c r="G16" s="4"/>
    </row>
    <row r="17" spans="1:7" x14ac:dyDescent="0.2">
      <c r="A17" s="4"/>
      <c r="B17" s="88"/>
      <c r="C17" s="90"/>
      <c r="D17" s="6"/>
      <c r="E17" s="41"/>
      <c r="F17" s="5"/>
      <c r="G17" s="4"/>
    </row>
    <row r="18" spans="1:7" x14ac:dyDescent="0.2">
      <c r="A18" s="4"/>
      <c r="B18" s="88"/>
      <c r="C18" s="90"/>
      <c r="D18" s="6"/>
      <c r="E18" s="41"/>
      <c r="F18" s="5"/>
      <c r="G18" s="4"/>
    </row>
    <row r="19" spans="1:7" x14ac:dyDescent="0.2">
      <c r="A19" s="4"/>
      <c r="B19" s="88"/>
      <c r="C19" s="90"/>
      <c r="D19" s="6"/>
      <c r="E19" s="41"/>
      <c r="F19" s="5"/>
      <c r="G19" s="4"/>
    </row>
    <row r="20" spans="1:7" x14ac:dyDescent="0.2">
      <c r="A20" s="4"/>
      <c r="B20" s="88"/>
      <c r="C20" s="90"/>
      <c r="D20" s="6"/>
      <c r="E20" s="41"/>
      <c r="F20" s="5"/>
      <c r="G20" s="4"/>
    </row>
    <row r="21" spans="1:7" x14ac:dyDescent="0.2">
      <c r="A21" s="4"/>
      <c r="B21" s="88"/>
      <c r="C21" s="90"/>
      <c r="D21" s="6"/>
      <c r="E21" s="41"/>
      <c r="F21" s="5"/>
      <c r="G21" s="4"/>
    </row>
    <row r="22" spans="1:7" x14ac:dyDescent="0.2">
      <c r="A22" s="4"/>
      <c r="B22" s="88"/>
      <c r="C22" s="90"/>
      <c r="D22" s="6"/>
      <c r="E22" s="41"/>
      <c r="F22" s="5"/>
      <c r="G22" s="4"/>
    </row>
    <row r="23" spans="1:7" x14ac:dyDescent="0.2">
      <c r="A23" s="4"/>
      <c r="B23" s="88"/>
      <c r="C23" s="90"/>
      <c r="D23" s="6"/>
      <c r="E23" s="41"/>
      <c r="F23" s="5"/>
      <c r="G23" s="4"/>
    </row>
  </sheetData>
  <sortState ref="A8:G14">
    <sortCondition descending="1" ref="D8:D14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&amp;L&amp;"Tahoma,Bold"&amp;11US Biathlon Association&amp;R&amp;"Tahoma,Bold"&amp;11 2018 Race Points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1"/>
  <sheetViews>
    <sheetView workbookViewId="0">
      <selection activeCell="B8" sqref="B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390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43121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1.0877186953560266E-2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318</v>
      </c>
      <c r="C8" s="90">
        <v>2.2060185185185183E-2</v>
      </c>
      <c r="D8" s="6">
        <f>INDEX('Points Summary'!$E$4:$E$672,G8)</f>
        <v>51.877018016687813</v>
      </c>
      <c r="E8" s="67">
        <f t="shared" ref="E8:E15" si="0">(AVERAGE($D$8:$D$10)/100*AVERAGE($C$8:$C$10))/C8</f>
        <v>0.49306870555488302</v>
      </c>
      <c r="F8" s="5"/>
      <c r="G8" s="4">
        <f>MATCH(B8,'Points Summary'!$B$4:$B$673,0)</f>
        <v>13</v>
      </c>
    </row>
    <row r="9" spans="1:7" x14ac:dyDescent="0.2">
      <c r="A9" s="4">
        <v>2</v>
      </c>
      <c r="B9" s="88" t="s">
        <v>315</v>
      </c>
      <c r="C9" s="90">
        <v>2.2303240740740738E-2</v>
      </c>
      <c r="D9" s="6">
        <f>INDEX('Points Summary'!$E$4:$E$672,G9)</f>
        <v>50.514713516710543</v>
      </c>
      <c r="E9" s="67">
        <f t="shared" si="0"/>
        <v>0.48769535692143595</v>
      </c>
      <c r="F9" s="5"/>
      <c r="G9" s="4">
        <f>MATCH(B9,'Points Summary'!$B$4:$B$673,0)</f>
        <v>141</v>
      </c>
    </row>
    <row r="10" spans="1:7" x14ac:dyDescent="0.2">
      <c r="A10" s="4">
        <v>1</v>
      </c>
      <c r="B10" s="88" t="s">
        <v>94</v>
      </c>
      <c r="C10" s="90">
        <v>2.0092592592592592E-2</v>
      </c>
      <c r="D10" s="6">
        <f>INDEX('Points Summary'!$E$4:$E$672,G10)</f>
        <v>49.486533417014016</v>
      </c>
      <c r="E10" s="67">
        <f t="shared" si="0"/>
        <v>0.54135308340299937</v>
      </c>
      <c r="F10" s="5"/>
      <c r="G10" s="4">
        <f>MATCH(B10,'Points Summary'!$B$4:$B$673,0)</f>
        <v>18</v>
      </c>
    </row>
    <row r="11" spans="1:7" x14ac:dyDescent="0.2">
      <c r="A11" s="4">
        <v>2</v>
      </c>
      <c r="B11" s="88" t="s">
        <v>83</v>
      </c>
      <c r="C11" s="90">
        <v>2.4687499999999998E-2</v>
      </c>
      <c r="D11" s="6">
        <f>INDEX('Points Summary'!$E$4:$E$672,G11)</f>
        <v>44.122608681632663</v>
      </c>
      <c r="E11" s="67">
        <f t="shared" si="0"/>
        <v>0.4405949145745931</v>
      </c>
      <c r="F11" s="5"/>
      <c r="G11" s="4">
        <f>MATCH(B11,'Points Summary'!$B$4:$B$673,0)</f>
        <v>6</v>
      </c>
    </row>
    <row r="12" spans="1:7" x14ac:dyDescent="0.2">
      <c r="A12" s="4">
        <v>5</v>
      </c>
      <c r="B12" s="88" t="s">
        <v>316</v>
      </c>
      <c r="C12" s="90">
        <v>3.6921296296296292E-2</v>
      </c>
      <c r="D12" s="6">
        <f>INDEX('Points Summary'!$E$4:$E$672,G12)</f>
        <v>31.480806867006041</v>
      </c>
      <c r="E12" s="67">
        <f t="shared" si="0"/>
        <v>0.29460468739423418</v>
      </c>
      <c r="F12" s="5"/>
      <c r="G12" s="4">
        <f>MATCH(B12,'Points Summary'!$B$4:$B$673,0)</f>
        <v>30</v>
      </c>
    </row>
    <row r="13" spans="1:7" x14ac:dyDescent="0.2">
      <c r="A13" s="4">
        <v>2</v>
      </c>
      <c r="B13" s="88" t="s">
        <v>320</v>
      </c>
      <c r="C13" s="90">
        <v>4.5138888888888888E-2</v>
      </c>
      <c r="D13" s="6">
        <f>INDEX('Points Summary'!$E$4:$E$672,G13)</f>
        <v>22.286310919943894</v>
      </c>
      <c r="E13" s="67">
        <f t="shared" si="0"/>
        <v>0.24097152635579666</v>
      </c>
      <c r="F13" s="5"/>
      <c r="G13" s="4">
        <f>MATCH(B13,'Points Summary'!$B$4:$B$673,0)</f>
        <v>51</v>
      </c>
    </row>
    <row r="14" spans="1:7" x14ac:dyDescent="0.2">
      <c r="A14" s="4">
        <v>1</v>
      </c>
      <c r="B14" s="88" t="s">
        <v>388</v>
      </c>
      <c r="C14" s="90">
        <v>2.0023148148148148E-2</v>
      </c>
      <c r="D14" s="6">
        <f>INDEX('Points Summary'!$E$4:$E$672,G14)</f>
        <v>0</v>
      </c>
      <c r="E14" s="67">
        <f t="shared" si="0"/>
        <v>0.54323060854774974</v>
      </c>
      <c r="F14" s="5"/>
      <c r="G14" s="4">
        <f>MATCH(B14,'Points Summary'!$B$4:$B$673,0)</f>
        <v>47</v>
      </c>
    </row>
    <row r="15" spans="1:7" x14ac:dyDescent="0.2">
      <c r="A15" s="4">
        <v>2</v>
      </c>
      <c r="B15" s="88" t="s">
        <v>389</v>
      </c>
      <c r="C15" s="90">
        <v>2.342592592592593E-2</v>
      </c>
      <c r="D15" s="6">
        <f>INDEX('Points Summary'!$E$4:$E$672,G15)</f>
        <v>0</v>
      </c>
      <c r="E15" s="67">
        <f t="shared" si="0"/>
        <v>0.46432260513221679</v>
      </c>
      <c r="F15" s="5"/>
      <c r="G15" s="4">
        <f>MATCH(B15,'Points Summary'!$B$4:$B$673,0)</f>
        <v>145</v>
      </c>
    </row>
    <row r="16" spans="1:7" x14ac:dyDescent="0.2">
      <c r="A16" s="4"/>
      <c r="B16" s="88"/>
      <c r="C16" s="90"/>
      <c r="D16" s="6"/>
      <c r="E16" s="41"/>
      <c r="F16" s="5"/>
      <c r="G16" s="4"/>
    </row>
    <row r="17" spans="1:7" x14ac:dyDescent="0.2">
      <c r="A17" s="4"/>
      <c r="B17" s="88"/>
      <c r="C17" s="90"/>
      <c r="D17" s="6"/>
      <c r="E17" s="41"/>
      <c r="F17" s="5"/>
      <c r="G17" s="4"/>
    </row>
    <row r="18" spans="1:7" x14ac:dyDescent="0.2">
      <c r="A18" s="4"/>
      <c r="B18" s="88"/>
      <c r="C18" s="90"/>
      <c r="D18" s="6"/>
      <c r="E18" s="41"/>
      <c r="F18" s="5"/>
      <c r="G18" s="4"/>
    </row>
    <row r="19" spans="1:7" x14ac:dyDescent="0.2">
      <c r="A19" s="4"/>
      <c r="B19" s="88"/>
      <c r="C19" s="90"/>
      <c r="D19" s="6"/>
      <c r="E19" s="41"/>
      <c r="F19" s="5"/>
      <c r="G19" s="4"/>
    </row>
    <row r="20" spans="1:7" x14ac:dyDescent="0.2">
      <c r="A20" s="4"/>
      <c r="B20" s="88"/>
      <c r="C20" s="90"/>
      <c r="D20" s="6"/>
      <c r="E20" s="41"/>
      <c r="F20" s="5"/>
      <c r="G20" s="4"/>
    </row>
    <row r="21" spans="1:7" x14ac:dyDescent="0.2">
      <c r="A21" s="4"/>
      <c r="B21" s="88"/>
      <c r="C21" s="90"/>
      <c r="D21" s="6"/>
      <c r="E21" s="41"/>
      <c r="F21" s="5"/>
      <c r="G21" s="4"/>
    </row>
  </sheetData>
  <sortState ref="A8:G15">
    <sortCondition descending="1" ref="D8:D15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zoomScaleNormal="100" workbookViewId="0">
      <selection activeCell="B8" sqref="B8"/>
    </sheetView>
  </sheetViews>
  <sheetFormatPr defaultRowHeight="12.75" x14ac:dyDescent="0.2"/>
  <cols>
    <col min="2" max="2" width="24.7109375" customWidth="1"/>
    <col min="3" max="3" width="12" customWidth="1"/>
    <col min="4" max="7" width="9.7109375" customWidth="1"/>
    <col min="10" max="10" width="14.140625" customWidth="1"/>
  </cols>
  <sheetData>
    <row r="1" spans="1:8" x14ac:dyDescent="0.2">
      <c r="A1" s="29" t="s">
        <v>10</v>
      </c>
      <c r="B1" s="30" t="s">
        <v>391</v>
      </c>
      <c r="C1" s="31"/>
      <c r="D1" s="31"/>
      <c r="E1" s="31"/>
      <c r="F1" s="31"/>
      <c r="G1" s="32"/>
    </row>
    <row r="2" spans="1:8" x14ac:dyDescent="0.2">
      <c r="A2" s="33" t="s">
        <v>11</v>
      </c>
      <c r="B2" s="34">
        <v>43124</v>
      </c>
      <c r="C2" s="35"/>
      <c r="D2" s="35"/>
      <c r="E2" s="35"/>
      <c r="F2" s="35"/>
      <c r="G2" s="36"/>
    </row>
    <row r="3" spans="1:8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8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8" x14ac:dyDescent="0.2">
      <c r="A5" s="33" t="s">
        <v>14</v>
      </c>
      <c r="B5" s="37" t="s">
        <v>392</v>
      </c>
      <c r="C5" s="35"/>
      <c r="D5" s="35"/>
      <c r="E5" s="35" t="s">
        <v>28</v>
      </c>
      <c r="F5" s="52">
        <f>AVERAGE(C8:C10)*(AVERAGE(D8:D10)/100)</f>
        <v>3.4578632180975198E-2</v>
      </c>
      <c r="G5" s="36"/>
    </row>
    <row r="6" spans="1:8" x14ac:dyDescent="0.2">
      <c r="A6" s="38" t="s">
        <v>15</v>
      </c>
      <c r="B6" s="28"/>
      <c r="C6" s="28"/>
      <c r="D6" s="28"/>
      <c r="E6" s="28"/>
      <c r="F6" s="28"/>
      <c r="G6" s="39"/>
    </row>
    <row r="7" spans="1:8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8" x14ac:dyDescent="0.2">
      <c r="A8" s="4">
        <v>60</v>
      </c>
      <c r="B8" s="5" t="s">
        <v>228</v>
      </c>
      <c r="C8" s="60">
        <v>3.740162037037037E-2</v>
      </c>
      <c r="D8" s="6">
        <f>INDEX('Points Summary'!$E$4:$E$672,G8)</f>
        <v>88.502368288866123</v>
      </c>
      <c r="E8" s="41">
        <f t="shared" ref="E8:E11" si="0">(AVERAGE($D$8:$D$10)/100*AVERAGE($C$8:$C$10))/C8</f>
        <v>0.92452230247137779</v>
      </c>
      <c r="F8" s="5"/>
      <c r="G8" s="4">
        <f>MATCH(B8,'Points Summary'!$B$4:$B$673,0)</f>
        <v>81</v>
      </c>
      <c r="H8" s="289"/>
    </row>
    <row r="9" spans="1:8" x14ac:dyDescent="0.2">
      <c r="A9" s="68">
        <v>65</v>
      </c>
      <c r="B9" s="5" t="s">
        <v>216</v>
      </c>
      <c r="C9" s="60">
        <v>3.8005787037037032E-2</v>
      </c>
      <c r="D9" s="6">
        <f>INDEX('Points Summary'!$E$4:$E$672,G9)</f>
        <v>91.868180810287825</v>
      </c>
      <c r="E9" s="41">
        <f t="shared" si="0"/>
        <v>0.90982544703726209</v>
      </c>
      <c r="F9" s="5"/>
      <c r="G9" s="4">
        <f>MATCH(B9,'Points Summary'!$B$4:$B$673,0)</f>
        <v>101</v>
      </c>
    </row>
    <row r="10" spans="1:8" x14ac:dyDescent="0.2">
      <c r="A10" s="68">
        <v>82</v>
      </c>
      <c r="B10" s="5" t="s">
        <v>345</v>
      </c>
      <c r="C10" s="60">
        <v>4.1535879629629631E-2</v>
      </c>
      <c r="D10" s="6">
        <f>INDEX('Points Summary'!$E$4:$E$672,G10)</f>
        <v>85.747923806618275</v>
      </c>
      <c r="E10" s="41">
        <f t="shared" si="0"/>
        <v>0.83250029827967142</v>
      </c>
      <c r="F10" s="5"/>
      <c r="G10" s="4">
        <f>MATCH(B10,'Points Summary'!$B$4:$B$673,0)</f>
        <v>71</v>
      </c>
    </row>
    <row r="11" spans="1:8" x14ac:dyDescent="0.2">
      <c r="A11" s="68">
        <v>87</v>
      </c>
      <c r="B11" s="5" t="s">
        <v>346</v>
      </c>
      <c r="C11" s="60">
        <v>4.2799768518518522E-2</v>
      </c>
      <c r="D11" s="6">
        <f>INDEX('Points Summary'!$E$4:$E$672,G11)</f>
        <v>81.649466230576181</v>
      </c>
      <c r="E11" s="41">
        <f t="shared" si="0"/>
        <v>0.80791633641695471</v>
      </c>
      <c r="F11" s="5"/>
      <c r="G11" s="4">
        <f>MATCH(B11,'Points Summary'!$B$4:$B$673,0)</f>
        <v>14</v>
      </c>
    </row>
    <row r="12" spans="1:8" x14ac:dyDescent="0.2">
      <c r="A12" s="68"/>
      <c r="B12" s="114"/>
      <c r="C12" s="60"/>
      <c r="D12" s="6"/>
      <c r="E12" s="41"/>
      <c r="F12" s="5"/>
      <c r="G12" s="4"/>
    </row>
    <row r="13" spans="1:8" x14ac:dyDescent="0.2">
      <c r="A13" s="4"/>
      <c r="B13" s="114"/>
      <c r="C13" s="60"/>
      <c r="D13" s="6"/>
      <c r="E13" s="41"/>
      <c r="F13" s="5"/>
      <c r="G13" s="4"/>
    </row>
    <row r="14" spans="1:8" x14ac:dyDescent="0.2">
      <c r="A14" s="4"/>
      <c r="B14" s="114"/>
      <c r="C14" s="60"/>
      <c r="D14" s="6"/>
      <c r="E14" s="41"/>
      <c r="F14" s="5"/>
      <c r="G14" s="4"/>
    </row>
    <row r="15" spans="1:8" x14ac:dyDescent="0.2">
      <c r="A15" s="68"/>
      <c r="B15" s="114"/>
      <c r="C15" s="60"/>
      <c r="D15" s="6"/>
      <c r="E15" s="41"/>
      <c r="F15" s="5"/>
      <c r="G15" s="4"/>
    </row>
    <row r="16" spans="1:8" x14ac:dyDescent="0.2">
      <c r="A16" s="68"/>
      <c r="B16" s="114"/>
      <c r="C16" s="60"/>
      <c r="D16" s="6"/>
      <c r="E16" s="41"/>
      <c r="F16" s="5"/>
      <c r="G16" s="4"/>
    </row>
    <row r="17" spans="1:7" x14ac:dyDescent="0.2">
      <c r="A17" s="68"/>
      <c r="B17" s="114"/>
      <c r="C17" s="60"/>
      <c r="D17" s="6"/>
      <c r="E17" s="41"/>
      <c r="F17" s="5"/>
      <c r="G17" s="4"/>
    </row>
    <row r="18" spans="1:7" x14ac:dyDescent="0.2">
      <c r="A18" s="68"/>
      <c r="B18" s="114"/>
      <c r="C18" s="60"/>
      <c r="D18" s="6"/>
      <c r="E18" s="41"/>
      <c r="F18" s="5"/>
      <c r="G18" s="4"/>
    </row>
    <row r="19" spans="1:7" x14ac:dyDescent="0.2">
      <c r="A19" s="68"/>
      <c r="B19" s="114"/>
      <c r="C19" s="60"/>
      <c r="D19" s="6"/>
      <c r="E19" s="41"/>
      <c r="F19" s="5"/>
      <c r="G19" s="4"/>
    </row>
    <row r="20" spans="1:7" x14ac:dyDescent="0.2">
      <c r="A20" s="68"/>
      <c r="B20" s="114"/>
      <c r="C20" s="60"/>
      <c r="D20" s="6"/>
      <c r="E20" s="41"/>
      <c r="F20" s="5"/>
      <c r="G20" s="4"/>
    </row>
    <row r="21" spans="1:7" x14ac:dyDescent="0.2">
      <c r="A21" s="68"/>
      <c r="B21" s="114"/>
      <c r="C21" s="60"/>
      <c r="D21" s="6"/>
      <c r="E21" s="41"/>
      <c r="F21" s="5"/>
      <c r="G21" s="4"/>
    </row>
    <row r="22" spans="1:7" x14ac:dyDescent="0.2">
      <c r="A22" s="68"/>
      <c r="B22" s="114"/>
      <c r="C22" s="60"/>
      <c r="D22" s="6"/>
      <c r="E22" s="41"/>
      <c r="F22" s="5"/>
      <c r="G22" s="4"/>
    </row>
    <row r="23" spans="1:7" x14ac:dyDescent="0.2">
      <c r="A23" s="68"/>
      <c r="B23" s="114"/>
      <c r="C23" s="60"/>
      <c r="D23" s="6"/>
      <c r="E23" s="41"/>
      <c r="F23" s="5"/>
      <c r="G23" s="4"/>
    </row>
  </sheetData>
  <sortState ref="A8:G23">
    <sortCondition descending="1" ref="D8:D23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"/>
  <sheetViews>
    <sheetView workbookViewId="0">
      <selection activeCell="B9" sqref="B9"/>
    </sheetView>
  </sheetViews>
  <sheetFormatPr defaultRowHeight="12.75" x14ac:dyDescent="0.2"/>
  <cols>
    <col min="2" max="2" width="22.140625" customWidth="1"/>
    <col min="3" max="3" width="9.7109375" style="63" customWidth="1"/>
    <col min="4" max="7" width="9.7109375" customWidth="1"/>
  </cols>
  <sheetData>
    <row r="1" spans="1:7" x14ac:dyDescent="0.2">
      <c r="A1" s="29" t="s">
        <v>10</v>
      </c>
      <c r="B1" s="30" t="s">
        <v>330</v>
      </c>
      <c r="C1" s="221"/>
      <c r="D1" s="31"/>
      <c r="E1" s="31"/>
      <c r="F1" s="31"/>
      <c r="G1" s="32"/>
    </row>
    <row r="2" spans="1:7" x14ac:dyDescent="0.2">
      <c r="A2" s="33" t="s">
        <v>11</v>
      </c>
      <c r="B2" s="34">
        <v>43061</v>
      </c>
      <c r="C2" s="11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115"/>
      <c r="D3" s="35"/>
      <c r="E3" s="35"/>
      <c r="F3" s="35"/>
      <c r="G3" s="36"/>
    </row>
    <row r="4" spans="1:7" x14ac:dyDescent="0.2">
      <c r="A4" s="33" t="s">
        <v>1</v>
      </c>
      <c r="B4" s="37" t="s">
        <v>331</v>
      </c>
      <c r="C4" s="115"/>
      <c r="D4" s="35"/>
      <c r="E4" s="35"/>
      <c r="F4" s="35"/>
      <c r="G4" s="36"/>
    </row>
    <row r="5" spans="1:7" x14ac:dyDescent="0.2">
      <c r="A5" s="33" t="s">
        <v>14</v>
      </c>
      <c r="B5" s="37" t="s">
        <v>71</v>
      </c>
      <c r="C5" s="115"/>
      <c r="D5" s="35"/>
      <c r="E5" s="35" t="s">
        <v>28</v>
      </c>
      <c r="F5" s="51">
        <f>AVERAGE(C8:C9)*(AVERAGE(D8:D9)/100)</f>
        <v>1.4260946860819418E-2</v>
      </c>
      <c r="G5" s="36"/>
    </row>
    <row r="6" spans="1:7" x14ac:dyDescent="0.2">
      <c r="A6" s="38" t="s">
        <v>15</v>
      </c>
      <c r="B6" s="28"/>
      <c r="C6" s="27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115">
        <v>1</v>
      </c>
      <c r="B8" s="35" t="s">
        <v>272</v>
      </c>
      <c r="C8" s="60">
        <v>2.177662037037037E-2</v>
      </c>
      <c r="D8" s="6">
        <f>INDEX('Points Summary'!$H$4:$H$672,G8)</f>
        <v>64.49093138187105</v>
      </c>
      <c r="E8" s="41">
        <f>(AVERAGE($D$8:$D$9)/100*AVERAGE($C$8:$C$9))/C8</f>
        <v>0.65487420078384151</v>
      </c>
      <c r="F8" s="5"/>
      <c r="G8" s="4">
        <f>MATCH(B8,'Points Summary'!$B$4:$B$673,0)</f>
        <v>19</v>
      </c>
    </row>
    <row r="9" spans="1:7" x14ac:dyDescent="0.2">
      <c r="A9" s="115">
        <v>2</v>
      </c>
      <c r="B9" s="35" t="s">
        <v>318</v>
      </c>
      <c r="C9" s="60">
        <v>2.8076388888888887E-2</v>
      </c>
      <c r="D9" s="6">
        <f>INDEX('Points Summary'!$H$4:$H$672,G9)</f>
        <v>49.933028757872883</v>
      </c>
      <c r="E9" s="41">
        <f>(AVERAGE($D$8:$D$9)/100*AVERAGE($C$8:$C$9))/C9</f>
        <v>0.50793379865396893</v>
      </c>
      <c r="F9" s="5"/>
      <c r="G9" s="4">
        <f>MATCH(B9,'Points Summary'!$B$4:$B$673,0)</f>
        <v>13</v>
      </c>
    </row>
    <row r="10" spans="1:7" x14ac:dyDescent="0.2">
      <c r="A10" s="115">
        <v>3</v>
      </c>
      <c r="B10" s="35" t="s">
        <v>378</v>
      </c>
      <c r="C10" s="60">
        <v>3.0217592592592591E-2</v>
      </c>
      <c r="D10" s="6">
        <f>INDEX('Points Summary'!$H$4:$H$672,G10)</f>
        <v>0</v>
      </c>
      <c r="E10" s="41">
        <f t="shared" ref="E10" si="0">(AVERAGE($D$8:$D$9)/100*AVERAGE($C$8:$C$9))/C10</f>
        <v>0.47194186026306029</v>
      </c>
      <c r="F10" s="5"/>
      <c r="G10" s="4">
        <f>MATCH(B10,'Points Summary'!$B$4:$B$673,0)</f>
        <v>112</v>
      </c>
    </row>
    <row r="11" spans="1:7" x14ac:dyDescent="0.2">
      <c r="A11" s="115">
        <v>4</v>
      </c>
      <c r="B11" s="35" t="s">
        <v>332</v>
      </c>
      <c r="C11" s="60">
        <v>3.2497685185185185E-2</v>
      </c>
      <c r="D11" s="6">
        <f>INDEX('Points Summary'!$H$4:$H$672,G11)</f>
        <v>0</v>
      </c>
      <c r="E11" s="41">
        <f t="shared" ref="E11" si="1">(AVERAGE($D$8:$D$9)/100*AVERAGE($C$8:$C$9))/C11</f>
        <v>0.43882962061927405</v>
      </c>
      <c r="F11" s="5"/>
      <c r="G11" s="4">
        <f>MATCH(B11,'Points Summary'!$B$4:$B$673,0)</f>
        <v>117</v>
      </c>
    </row>
    <row r="12" spans="1:7" x14ac:dyDescent="0.2">
      <c r="A12" s="4"/>
      <c r="B12" s="5"/>
      <c r="C12" s="60"/>
      <c r="D12" s="6"/>
      <c r="E12" s="41"/>
      <c r="F12" s="5"/>
      <c r="G12" s="4"/>
    </row>
    <row r="13" spans="1:7" x14ac:dyDescent="0.2">
      <c r="A13" s="4"/>
      <c r="B13" s="5"/>
      <c r="C13" s="60"/>
      <c r="D13" s="6"/>
      <c r="E13" s="41"/>
      <c r="F13" s="5"/>
      <c r="G13" s="4"/>
    </row>
    <row r="14" spans="1:7" x14ac:dyDescent="0.2">
      <c r="A14" s="63"/>
      <c r="B14" s="5"/>
      <c r="C14" s="60"/>
      <c r="D14" s="6"/>
      <c r="E14" s="41"/>
      <c r="F14" s="5"/>
      <c r="G14" s="4"/>
    </row>
    <row r="15" spans="1:7" x14ac:dyDescent="0.2">
      <c r="A15" s="63"/>
      <c r="B15" s="5"/>
      <c r="C15" s="60"/>
      <c r="D15" s="6"/>
      <c r="E15" s="41"/>
      <c r="F15" s="5"/>
      <c r="G15" s="4"/>
    </row>
    <row r="16" spans="1:7" x14ac:dyDescent="0.2">
      <c r="A16" s="63"/>
      <c r="B16" s="5"/>
      <c r="C16" s="60"/>
      <c r="D16" s="6"/>
      <c r="E16" s="41"/>
      <c r="F16" s="5"/>
      <c r="G16" s="4"/>
    </row>
    <row r="17" spans="1:7" x14ac:dyDescent="0.2">
      <c r="A17" s="63"/>
      <c r="B17" s="5"/>
      <c r="C17" s="60"/>
      <c r="D17" s="6"/>
      <c r="E17" s="41"/>
      <c r="F17" s="5"/>
      <c r="G17" s="4"/>
    </row>
    <row r="18" spans="1:7" x14ac:dyDescent="0.2">
      <c r="A18" s="63"/>
      <c r="C18" s="60"/>
      <c r="D18" s="6"/>
      <c r="E18" s="41"/>
      <c r="F18" s="5"/>
      <c r="G18" s="4"/>
    </row>
    <row r="19" spans="1:7" x14ac:dyDescent="0.2">
      <c r="A19" s="63"/>
    </row>
    <row r="20" spans="1:7" x14ac:dyDescent="0.2">
      <c r="A20" s="63"/>
    </row>
    <row r="21" spans="1:7" x14ac:dyDescent="0.2">
      <c r="A21" s="63"/>
    </row>
    <row r="22" spans="1:7" x14ac:dyDescent="0.2">
      <c r="A22" s="63"/>
    </row>
    <row r="23" spans="1:7" x14ac:dyDescent="0.2">
      <c r="A23" s="63"/>
    </row>
    <row r="24" spans="1:7" x14ac:dyDescent="0.2">
      <c r="A24" s="63"/>
    </row>
    <row r="25" spans="1:7" x14ac:dyDescent="0.2">
      <c r="A25" s="63"/>
    </row>
    <row r="26" spans="1:7" x14ac:dyDescent="0.2">
      <c r="A26" s="63"/>
    </row>
    <row r="27" spans="1:7" x14ac:dyDescent="0.2">
      <c r="A27" s="63"/>
    </row>
    <row r="28" spans="1:7" x14ac:dyDescent="0.2">
      <c r="A28" s="63"/>
    </row>
    <row r="29" spans="1:7" x14ac:dyDescent="0.2">
      <c r="A29" s="63"/>
    </row>
    <row r="30" spans="1:7" x14ac:dyDescent="0.2">
      <c r="A30" s="63"/>
    </row>
    <row r="31" spans="1:7" x14ac:dyDescent="0.2">
      <c r="A31" s="63"/>
    </row>
    <row r="32" spans="1:7" x14ac:dyDescent="0.2">
      <c r="A32" s="63"/>
    </row>
    <row r="33" spans="1:1" x14ac:dyDescent="0.2">
      <c r="A33" s="63"/>
    </row>
    <row r="34" spans="1:1" x14ac:dyDescent="0.2">
      <c r="A34" s="63"/>
    </row>
    <row r="35" spans="1:1" x14ac:dyDescent="0.2">
      <c r="A35" s="63"/>
    </row>
    <row r="36" spans="1:1" x14ac:dyDescent="0.2">
      <c r="A36" s="63"/>
    </row>
    <row r="37" spans="1:1" x14ac:dyDescent="0.2">
      <c r="A37" s="63"/>
    </row>
    <row r="38" spans="1:1" x14ac:dyDescent="0.2">
      <c r="A38" s="63"/>
    </row>
    <row r="39" spans="1:1" x14ac:dyDescent="0.2">
      <c r="A39" s="63"/>
    </row>
    <row r="40" spans="1:1" x14ac:dyDescent="0.2">
      <c r="A40" s="63"/>
    </row>
    <row r="76" spans="3:7" x14ac:dyDescent="0.2">
      <c r="C76" s="63" t="s">
        <v>5</v>
      </c>
      <c r="D76" t="s">
        <v>32</v>
      </c>
      <c r="G76">
        <v>0</v>
      </c>
    </row>
  </sheetData>
  <sortState ref="A9:D10">
    <sortCondition descending="1" ref="D9:D10"/>
  </sortState>
  <phoneticPr fontId="0" type="noConversion"/>
  <printOptions horizontalCentered="1"/>
  <pageMargins left="0.75" right="0.75" top="1.25" bottom="1" header="0.5" footer="0.5"/>
  <pageSetup orientation="portrait" horizontalDpi="4294967292" verticalDpi="1200" r:id="rId1"/>
  <headerFooter alignWithMargins="0">
    <oddHeader>&amp;L&amp;"Tahoma,Bold"&amp;11U.S. Biathlon Assocation&amp;R&amp;"Tahoma,Bold"&amp;11 2018 Race Points Calculations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2"/>
  <sheetViews>
    <sheetView workbookViewId="0">
      <selection activeCell="E8" sqref="E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4" x14ac:dyDescent="0.2">
      <c r="A1" s="29" t="s">
        <v>10</v>
      </c>
      <c r="B1" s="30" t="s">
        <v>393</v>
      </c>
      <c r="C1" s="31"/>
      <c r="D1" s="31"/>
      <c r="E1" s="31"/>
      <c r="F1" s="31"/>
      <c r="G1" s="32"/>
    </row>
    <row r="2" spans="1:14" x14ac:dyDescent="0.2">
      <c r="A2" s="33" t="s">
        <v>11</v>
      </c>
      <c r="B2" s="34">
        <v>43126</v>
      </c>
      <c r="C2" s="35"/>
      <c r="D2" s="35"/>
      <c r="E2" s="35"/>
      <c r="F2" s="35"/>
      <c r="G2" s="36"/>
    </row>
    <row r="3" spans="1:14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4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4" x14ac:dyDescent="0.2">
      <c r="A5" s="33" t="s">
        <v>14</v>
      </c>
      <c r="B5" s="37" t="s">
        <v>392</v>
      </c>
      <c r="C5" s="35"/>
      <c r="D5" s="35"/>
      <c r="E5" s="35" t="s">
        <v>28</v>
      </c>
      <c r="F5" s="52">
        <f>AVERAGE(C8:C10)*(AVERAGE(D8:D10)/100)</f>
        <v>1.485790098731858E-2</v>
      </c>
      <c r="G5" s="36"/>
    </row>
    <row r="6" spans="1:14" x14ac:dyDescent="0.2">
      <c r="A6" s="38" t="s">
        <v>15</v>
      </c>
      <c r="B6" s="28"/>
      <c r="C6" s="28"/>
      <c r="D6" s="28"/>
      <c r="E6" s="28"/>
      <c r="F6" s="28"/>
      <c r="G6" s="39"/>
    </row>
    <row r="7" spans="1:14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4" x14ac:dyDescent="0.2">
      <c r="A8" s="4">
        <v>70</v>
      </c>
      <c r="B8" s="5" t="s">
        <v>221</v>
      </c>
      <c r="C8" s="40">
        <v>1.6299768518518519E-2</v>
      </c>
      <c r="D8" s="6">
        <f>INDEX('Points Summary'!$E$4:$E$672,G8)</f>
        <v>96.260692556273455</v>
      </c>
      <c r="E8" s="41">
        <f>(AVERAGE($D$8:$D$10)/100*AVERAGE($C$8:$C$10))/C8</f>
        <v>0.91154061301166311</v>
      </c>
      <c r="F8" s="5"/>
      <c r="G8" s="4">
        <f>MATCH(B8,'Points Summary'!$B$4:$B$673,0)</f>
        <v>42</v>
      </c>
      <c r="N8" s="63"/>
    </row>
    <row r="9" spans="1:14" x14ac:dyDescent="0.2">
      <c r="A9" s="68">
        <v>63</v>
      </c>
      <c r="B9" s="5" t="s">
        <v>216</v>
      </c>
      <c r="C9" s="40">
        <v>1.6123842592592592E-2</v>
      </c>
      <c r="D9" s="6">
        <f>INDEX('Points Summary'!$E$4:$E$672,G9)</f>
        <v>91.868180810287825</v>
      </c>
      <c r="E9" s="41">
        <f>(AVERAGE($D$8:$D$10)/100*AVERAGE($C$8:$C$10))/C9</f>
        <v>0.92148635798171363</v>
      </c>
      <c r="F9" s="5"/>
      <c r="G9" s="4">
        <f>MATCH(B9,'Points Summary'!$B$4:$B$673,0)</f>
        <v>101</v>
      </c>
      <c r="N9" s="63"/>
    </row>
    <row r="10" spans="1:14" x14ac:dyDescent="0.2">
      <c r="A10" s="4">
        <v>59</v>
      </c>
      <c r="B10" s="5" t="s">
        <v>228</v>
      </c>
      <c r="C10" s="40">
        <v>1.5915509259259258E-2</v>
      </c>
      <c r="D10" s="6">
        <f>INDEX('Points Summary'!$E$4:$E$672,G10)</f>
        <v>88.502368288866123</v>
      </c>
      <c r="E10" s="41">
        <f>(AVERAGE($D$8:$D$10)/100*AVERAGE($C$8:$C$10))/C10</f>
        <v>0.93354857487042786</v>
      </c>
      <c r="F10" s="5"/>
      <c r="G10" s="4">
        <f>MATCH(B10,'Points Summary'!$B$4:$B$673,0)</f>
        <v>81</v>
      </c>
      <c r="N10" s="63"/>
    </row>
    <row r="11" spans="1:14" x14ac:dyDescent="0.2">
      <c r="A11" s="4">
        <v>85</v>
      </c>
      <c r="B11" s="5" t="s">
        <v>345</v>
      </c>
      <c r="C11" s="40">
        <v>1.7039351851851851E-2</v>
      </c>
      <c r="D11" s="6">
        <f>INDEX('Points Summary'!$E$4:$E$672,G11)</f>
        <v>85.747923806618275</v>
      </c>
      <c r="E11" s="41">
        <f>(AVERAGE($D$8:$D$10)/100*AVERAGE($C$8:$C$10))/C11</f>
        <v>0.87197571342502744</v>
      </c>
      <c r="F11" s="5"/>
      <c r="G11" s="4">
        <f>MATCH(B11,'Points Summary'!$B$4:$B$673,0)</f>
        <v>71</v>
      </c>
      <c r="N11" s="63"/>
    </row>
    <row r="12" spans="1:14" x14ac:dyDescent="0.2">
      <c r="A12" s="4">
        <v>97</v>
      </c>
      <c r="B12" s="5" t="s">
        <v>346</v>
      </c>
      <c r="C12" s="40">
        <v>1.8598379629629628E-2</v>
      </c>
      <c r="D12" s="6">
        <f>INDEX('Points Summary'!$E$4:$E$672,G12)</f>
        <v>81.649466230576181</v>
      </c>
      <c r="E12" s="41">
        <f>(AVERAGE($D$8:$D$10)/100*AVERAGE($C$8:$C$10))/C12</f>
        <v>0.7988814769458743</v>
      </c>
      <c r="F12" s="5"/>
      <c r="G12" s="4">
        <f>MATCH(B12,'Points Summary'!$B$4:$B$673,0)</f>
        <v>14</v>
      </c>
      <c r="N12" s="63"/>
    </row>
    <row r="13" spans="1:14" x14ac:dyDescent="0.2">
      <c r="B13" s="5"/>
      <c r="N13" s="63"/>
    </row>
    <row r="14" spans="1:14" x14ac:dyDescent="0.2">
      <c r="B14" s="5"/>
      <c r="N14" s="63"/>
    </row>
    <row r="15" spans="1:14" x14ac:dyDescent="0.2">
      <c r="B15" s="5"/>
      <c r="N15" s="63"/>
    </row>
    <row r="16" spans="1:14" x14ac:dyDescent="0.2">
      <c r="B16" s="114"/>
      <c r="N16" s="63"/>
    </row>
    <row r="17" spans="2:2" x14ac:dyDescent="0.2">
      <c r="B17" s="114"/>
    </row>
    <row r="18" spans="2:2" x14ac:dyDescent="0.2">
      <c r="B18" s="114"/>
    </row>
    <row r="19" spans="2:2" x14ac:dyDescent="0.2">
      <c r="B19" s="114"/>
    </row>
    <row r="20" spans="2:2" x14ac:dyDescent="0.2">
      <c r="B20" s="114"/>
    </row>
    <row r="21" spans="2:2" x14ac:dyDescent="0.2">
      <c r="B21" s="114"/>
    </row>
    <row r="22" spans="2:2" x14ac:dyDescent="0.2">
      <c r="B22" s="114"/>
    </row>
  </sheetData>
  <sortState ref="A8:G12">
    <sortCondition descending="1" ref="D8:D12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  <col min="9" max="9" width="18.5703125" customWidth="1"/>
  </cols>
  <sheetData>
    <row r="1" spans="1:7" x14ac:dyDescent="0.2">
      <c r="A1" s="29" t="s">
        <v>10</v>
      </c>
      <c r="B1" s="30" t="s">
        <v>394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43127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395</v>
      </c>
      <c r="C5" s="35"/>
      <c r="D5" s="35"/>
      <c r="E5" s="35" t="s">
        <v>28</v>
      </c>
      <c r="F5" s="52">
        <f>AVERAGE(C8:C9)*(AVERAGE(D8:D9)/100)</f>
        <v>1.1019001904028431E-2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2</v>
      </c>
      <c r="B8" s="5" t="s">
        <v>218</v>
      </c>
      <c r="C8" s="40">
        <f>TIME(0,31,53)</f>
        <v>2.2141203703703705E-2</v>
      </c>
      <c r="D8" s="6">
        <f>INDEX('Points Summary'!$E$4:$E$672,G8)</f>
        <v>51.922861441089708</v>
      </c>
      <c r="E8" s="41">
        <f>(AVERAGE($D$8:$D$9)/100*AVERAGE($C$8:$C$9))/C8</f>
        <v>0.49766950575434205</v>
      </c>
      <c r="F8" s="5"/>
      <c r="G8" s="4">
        <f>MATCH(B8,'Points Summary'!$B$4:$B$673,0)</f>
        <v>50</v>
      </c>
    </row>
    <row r="9" spans="1:7" x14ac:dyDescent="0.2">
      <c r="A9" s="4">
        <v>1</v>
      </c>
      <c r="B9" s="5" t="s">
        <v>232</v>
      </c>
      <c r="C9" s="40">
        <f>TIME(0,29,20)</f>
        <v>2.0370370370370369E-2</v>
      </c>
      <c r="D9" s="6">
        <f>INDEX('Points Summary'!$E$4:$E$672,G9)</f>
        <v>51.757156474298945</v>
      </c>
      <c r="E9" s="41">
        <f>(AVERAGE($D$8:$D$9)/100*AVERAGE($C$8:$C$9))/C9</f>
        <v>0.54093282074321392</v>
      </c>
      <c r="F9" s="5"/>
      <c r="G9" s="4">
        <f>MATCH(B9,'Points Summary'!$B$4:$B$673,0)</f>
        <v>133</v>
      </c>
    </row>
    <row r="10" spans="1:7" x14ac:dyDescent="0.2">
      <c r="A10" s="4">
        <v>1</v>
      </c>
      <c r="B10" s="5" t="s">
        <v>396</v>
      </c>
      <c r="C10" s="40">
        <f>TIME(0,37,40)</f>
        <v>2.6157407407407407E-2</v>
      </c>
      <c r="D10" s="6">
        <f>INDEX('Points Summary'!$E$4:$E$672,G10)</f>
        <v>0</v>
      </c>
      <c r="E10" s="41">
        <f>(AVERAGE($D$8:$D$9)/100*AVERAGE($C$8:$C$9))/C10</f>
        <v>0.4212574179239188</v>
      </c>
      <c r="F10" s="5"/>
      <c r="G10" s="4">
        <f>MATCH(B10,'Points Summary'!$B$4:$B$673,0)</f>
        <v>25</v>
      </c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C12" s="40"/>
      <c r="D12" s="6"/>
      <c r="E12" s="41"/>
      <c r="F12" s="5"/>
      <c r="G12" s="4"/>
    </row>
    <row r="13" spans="1:7" x14ac:dyDescent="0.2">
      <c r="A13" s="63"/>
      <c r="C13" s="40"/>
      <c r="D13" s="6"/>
      <c r="E13" s="41"/>
      <c r="F13" s="5"/>
      <c r="G13" s="4"/>
    </row>
    <row r="14" spans="1:7" x14ac:dyDescent="0.2">
      <c r="A14" s="63"/>
      <c r="C14" s="40"/>
      <c r="D14" s="6"/>
      <c r="E14" s="41"/>
      <c r="F14" s="5"/>
      <c r="G14" s="4"/>
    </row>
    <row r="15" spans="1:7" x14ac:dyDescent="0.2">
      <c r="A15" s="63"/>
      <c r="C15" s="40"/>
      <c r="D15" s="6"/>
      <c r="E15" s="41"/>
      <c r="F15" s="5"/>
      <c r="G15" s="4"/>
    </row>
    <row r="16" spans="1:7" x14ac:dyDescent="0.2">
      <c r="A16" s="63"/>
      <c r="C16" s="40"/>
      <c r="D16" s="6"/>
      <c r="E16" s="41"/>
      <c r="F16" s="5"/>
      <c r="G16" s="4"/>
    </row>
    <row r="17" spans="1:7" x14ac:dyDescent="0.2">
      <c r="A17" s="63"/>
      <c r="C17" s="40"/>
      <c r="D17" s="6"/>
      <c r="E17" s="41"/>
      <c r="F17" s="5"/>
      <c r="G17" s="4"/>
    </row>
    <row r="18" spans="1:7" x14ac:dyDescent="0.2">
      <c r="C18" s="40"/>
      <c r="D18" s="6"/>
      <c r="E18" s="41"/>
      <c r="F18" s="5"/>
      <c r="G18" s="4"/>
    </row>
    <row r="19" spans="1:7" x14ac:dyDescent="0.2">
      <c r="C19" s="40"/>
      <c r="D19" s="6"/>
      <c r="E19" s="41"/>
      <c r="F19" s="5"/>
      <c r="G19" s="4"/>
    </row>
    <row r="20" spans="1:7" x14ac:dyDescent="0.2">
      <c r="C20" s="40"/>
      <c r="D20" s="6"/>
      <c r="E20" s="41"/>
      <c r="F20" s="5"/>
      <c r="G20" s="4"/>
    </row>
    <row r="21" spans="1:7" x14ac:dyDescent="0.2">
      <c r="C21" s="40"/>
      <c r="D21" s="6"/>
      <c r="E21" s="41"/>
      <c r="F21" s="5"/>
      <c r="G21" s="4"/>
    </row>
    <row r="22" spans="1:7" x14ac:dyDescent="0.2">
      <c r="C22" s="40"/>
      <c r="D22" s="6"/>
      <c r="E22" s="41"/>
      <c r="F22" s="5"/>
      <c r="G22" s="4"/>
    </row>
  </sheetData>
  <sortState ref="A8:G10">
    <sortCondition descending="1" ref="D8:D10"/>
  </sortState>
  <phoneticPr fontId="0" type="noConversion"/>
  <hyperlinks>
    <hyperlink ref="B10" r:id="rId1" display="http://services.biathlonresults.com/athletes.aspx?IbuId=BTUSA22404199801" xr:uid="{00000000-0004-0000-1E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9"/>
  <sheetViews>
    <sheetView zoomScaleNormal="100" workbookViewId="0">
      <selection activeCell="B8" sqref="B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8" x14ac:dyDescent="0.2">
      <c r="A1" s="29" t="s">
        <v>10</v>
      </c>
      <c r="B1" s="30" t="s">
        <v>397</v>
      </c>
      <c r="C1" s="31"/>
      <c r="D1" s="31"/>
      <c r="E1" s="31"/>
      <c r="F1" s="31"/>
      <c r="G1" s="32"/>
    </row>
    <row r="2" spans="1:8" x14ac:dyDescent="0.2">
      <c r="A2" s="33" t="s">
        <v>11</v>
      </c>
      <c r="B2" s="34">
        <v>43128</v>
      </c>
      <c r="C2" s="35"/>
      <c r="D2" s="35"/>
      <c r="E2" s="35"/>
      <c r="F2" s="35"/>
      <c r="G2" s="36"/>
    </row>
    <row r="3" spans="1:8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8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8" x14ac:dyDescent="0.2">
      <c r="A5" s="33" t="s">
        <v>14</v>
      </c>
      <c r="B5" s="37" t="s">
        <v>395</v>
      </c>
      <c r="C5" s="35"/>
      <c r="D5" s="35"/>
      <c r="E5" s="35" t="s">
        <v>28</v>
      </c>
      <c r="F5" s="52">
        <f>AVERAGE(C8:C9)*(AVERAGE(D8:D9)/100)</f>
        <v>1.6713002887923326E-2</v>
      </c>
      <c r="G5" s="36"/>
    </row>
    <row r="6" spans="1:8" x14ac:dyDescent="0.2">
      <c r="A6" s="38" t="s">
        <v>15</v>
      </c>
      <c r="B6" s="28"/>
      <c r="C6" s="28"/>
      <c r="D6" s="28"/>
      <c r="E6" s="28"/>
      <c r="F6" s="28"/>
      <c r="G6" s="39"/>
    </row>
    <row r="7" spans="1:8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8" x14ac:dyDescent="0.2">
      <c r="A8" s="4">
        <v>1</v>
      </c>
      <c r="B8" s="5" t="s">
        <v>232</v>
      </c>
      <c r="C8" s="40">
        <v>3.1805555555555552E-2</v>
      </c>
      <c r="D8" s="6">
        <f>INDEX('Points Summary'!$E$4:$E$672,G8)</f>
        <v>51.757156474298945</v>
      </c>
      <c r="E8" s="67">
        <f>(AVERAGE($D$8:$D$9)/100*AVERAGE($C$8:$C$9))/C8</f>
        <v>0.52547432660719628</v>
      </c>
      <c r="F8" s="5"/>
      <c r="G8" s="4">
        <f>MATCH(B8,'Points Summary'!$B$4:$B$673,0)</f>
        <v>133</v>
      </c>
    </row>
    <row r="9" spans="1:8" x14ac:dyDescent="0.2">
      <c r="A9" s="4">
        <v>2</v>
      </c>
      <c r="B9" s="5" t="s">
        <v>218</v>
      </c>
      <c r="C9" s="40">
        <v>3.2673611111111105E-2</v>
      </c>
      <c r="D9" s="6">
        <f>INDEX('Points Summary'!$E$4:$E$672,G9)</f>
        <v>51.922861441089708</v>
      </c>
      <c r="E9" s="67">
        <f>(AVERAGE($D$8:$D$9)/100*AVERAGE($C$8:$C$9))/C9</f>
        <v>0.51151379720743029</v>
      </c>
      <c r="F9" s="5"/>
      <c r="G9" s="4">
        <f>MATCH(B9,'Points Summary'!$B$4:$B$673,0)</f>
        <v>50</v>
      </c>
    </row>
    <row r="10" spans="1:8" x14ac:dyDescent="0.2">
      <c r="A10" s="4">
        <v>1</v>
      </c>
      <c r="B10" s="5" t="s">
        <v>396</v>
      </c>
      <c r="C10" s="40">
        <v>3.8252314814814815E-2</v>
      </c>
      <c r="D10" s="6">
        <f>INDEX('Points Summary'!$E$4:$E$672,G10)</f>
        <v>0</v>
      </c>
      <c r="E10" s="67">
        <f>(AVERAGE($D$8:$D$9)/100*AVERAGE($C$8:$C$9))/C10</f>
        <v>0.43691481074631627</v>
      </c>
      <c r="F10" s="5"/>
      <c r="G10" s="4">
        <f>MATCH(B10,'Points Summary'!$B$4:$B$673,0)</f>
        <v>25</v>
      </c>
    </row>
    <row r="11" spans="1:8" x14ac:dyDescent="0.2">
      <c r="A11" s="4"/>
      <c r="B11" s="5"/>
      <c r="C11" s="40"/>
      <c r="D11" s="6"/>
      <c r="E11" s="41"/>
      <c r="F11" s="5"/>
      <c r="G11" s="4"/>
    </row>
    <row r="12" spans="1:8" x14ac:dyDescent="0.2">
      <c r="A12" s="4"/>
      <c r="C12" s="40"/>
      <c r="D12" s="40"/>
      <c r="E12" s="40"/>
      <c r="F12" s="5"/>
      <c r="G12" s="4"/>
      <c r="H12" s="4"/>
    </row>
    <row r="13" spans="1:8" x14ac:dyDescent="0.2">
      <c r="A13" s="4"/>
      <c r="C13" s="40"/>
      <c r="D13" s="40"/>
      <c r="E13" s="40"/>
      <c r="F13" s="5"/>
      <c r="G13" s="4"/>
    </row>
    <row r="14" spans="1:8" x14ac:dyDescent="0.2">
      <c r="A14" s="4"/>
      <c r="C14" s="40"/>
      <c r="D14" s="6"/>
      <c r="E14" s="41"/>
      <c r="F14" s="5"/>
      <c r="G14" s="4"/>
    </row>
    <row r="15" spans="1:8" x14ac:dyDescent="0.2">
      <c r="A15" s="4"/>
      <c r="C15" s="40"/>
      <c r="D15" s="6"/>
      <c r="E15" s="41"/>
      <c r="F15" s="5"/>
      <c r="G15" s="4"/>
    </row>
    <row r="16" spans="1:8" x14ac:dyDescent="0.2">
      <c r="A16" s="4"/>
      <c r="C16" s="40"/>
      <c r="D16" s="6"/>
      <c r="E16" s="41"/>
      <c r="F16" s="5"/>
      <c r="G16" s="4"/>
    </row>
    <row r="17" spans="1:7" x14ac:dyDescent="0.2">
      <c r="A17" s="4"/>
      <c r="C17" s="40"/>
      <c r="D17" s="6"/>
      <c r="E17" s="41"/>
      <c r="F17" s="5"/>
      <c r="G17" s="4"/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C19" s="40"/>
      <c r="D19" s="6"/>
      <c r="E19" s="41"/>
      <c r="F19" s="5"/>
      <c r="G19" s="4"/>
    </row>
  </sheetData>
  <sortState ref="A8:D12">
    <sortCondition descending="1" ref="D8:D12"/>
  </sortState>
  <phoneticPr fontId="0" type="noConversion"/>
  <hyperlinks>
    <hyperlink ref="B8" r:id="rId1" display="http://services.biathlonresults.com/athletes.aspx?IbuId=BTUSA22404199801" xr:uid="{00000000-0004-0000-1F00-000000000000}"/>
    <hyperlink ref="B10" r:id="rId2" display="http://services.biathlonresults.com/athletes.aspx?IbuId=BTUSA22404199801" xr:uid="{00000000-0004-0000-1F00-000001000000}"/>
  </hyperlinks>
  <printOptions horizontalCentered="1"/>
  <pageMargins left="0.75" right="0.75" top="1" bottom="1" header="0.5" footer="0.5"/>
  <pageSetup orientation="portrait" horizontalDpi="4294967292" verticalDpi="1200" r:id="rId3"/>
  <headerFooter alignWithMargins="0">
    <oddHeader>&amp;L&amp;"Tahoma,Bold"&amp;11U.S. Biathlon Association&amp;R&amp;"Tahoma,Bold"&amp;11 2018 Race Points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4"/>
  <sheetViews>
    <sheetView topLeftCell="A19" workbookViewId="0">
      <selection activeCell="B28" sqref="B2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400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43126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1.3733018335563438E-2</v>
      </c>
      <c r="G5" s="36"/>
      <c r="I5" s="37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47</v>
      </c>
      <c r="C8" s="40">
        <f>TIME(0,30,19)</f>
        <v>2.1053240740740744E-2</v>
      </c>
      <c r="D8" s="6">
        <f>INDEX('Points Summary'!$E$4:$E$672,G8)</f>
        <v>63.139000395507999</v>
      </c>
      <c r="E8" s="67">
        <f t="shared" ref="E8:E39" si="0">(AVERAGE($D$8:$D$10)/100*AVERAGE($C$8:$C$10))/C8</f>
        <v>0.65229949653253483</v>
      </c>
      <c r="F8" s="5"/>
      <c r="G8" s="4">
        <f>MATCH(B8,'Points Summary'!$B$4:$B$673,0)</f>
        <v>19</v>
      </c>
    </row>
    <row r="9" spans="1:9" x14ac:dyDescent="0.2">
      <c r="A9" s="4">
        <v>1</v>
      </c>
      <c r="B9" s="5" t="s">
        <v>298</v>
      </c>
      <c r="C9" s="40">
        <f>TIME(0,34,28)</f>
        <v>2.3935185185185184E-2</v>
      </c>
      <c r="D9" s="6">
        <f>INDEX('Points Summary'!$E$4:$E$672,G9)</f>
        <v>58.275611717619917</v>
      </c>
      <c r="E9" s="67">
        <f t="shared" si="0"/>
        <v>0.57375859970632548</v>
      </c>
      <c r="F9" s="5"/>
      <c r="G9" s="4">
        <f>MATCH(B9,'Points Summary'!$B$4:$B$673,0)</f>
        <v>89</v>
      </c>
    </row>
    <row r="10" spans="1:9" x14ac:dyDescent="0.2">
      <c r="A10" s="4">
        <v>1</v>
      </c>
      <c r="B10" s="5" t="s">
        <v>287</v>
      </c>
      <c r="C10" s="40">
        <f>TIME(0,37,30)</f>
        <v>2.6041666666666668E-2</v>
      </c>
      <c r="D10" s="6">
        <f>INDEX('Points Summary'!$E$4:$E$672,G10)</f>
        <v>52.592151089318357</v>
      </c>
      <c r="E10" s="67">
        <f t="shared" si="0"/>
        <v>0.52734790408563603</v>
      </c>
      <c r="F10" s="5"/>
      <c r="G10" s="4">
        <f>MATCH(B10,'Points Summary'!$B$4:$B$673,0)</f>
        <v>84</v>
      </c>
    </row>
    <row r="11" spans="1:9" x14ac:dyDescent="0.2">
      <c r="A11" s="4">
        <v>2</v>
      </c>
      <c r="B11" s="5" t="s">
        <v>229</v>
      </c>
      <c r="C11" s="40">
        <f>TIME(0,39,13)</f>
        <v>2.7233796296296298E-2</v>
      </c>
      <c r="D11" s="6">
        <f>INDEX('Points Summary'!$E$4:$E$672,G11)</f>
        <v>48.407706236395555</v>
      </c>
      <c r="E11" s="67">
        <f t="shared" si="0"/>
        <v>0.50426382668622227</v>
      </c>
      <c r="F11" s="5"/>
      <c r="G11" s="4">
        <f>MATCH(B11,'Points Summary'!$B$4:$B$673,0)</f>
        <v>140</v>
      </c>
    </row>
    <row r="12" spans="1:9" x14ac:dyDescent="0.2">
      <c r="A12" s="4">
        <v>2</v>
      </c>
      <c r="B12" s="5" t="s">
        <v>299</v>
      </c>
      <c r="C12" s="40">
        <f>TIME(0,39,41)</f>
        <v>2.7557870370370368E-2</v>
      </c>
      <c r="D12" s="6">
        <f>INDEX('Points Summary'!$E$4:$E$672,G12)</f>
        <v>48.209769937096013</v>
      </c>
      <c r="E12" s="67">
        <f t="shared" si="0"/>
        <v>0.49833380268487237</v>
      </c>
      <c r="F12" s="5"/>
      <c r="G12" s="4">
        <f>MATCH(B12,'Points Summary'!$B$4:$B$673,0)</f>
        <v>37</v>
      </c>
    </row>
    <row r="13" spans="1:9" x14ac:dyDescent="0.2">
      <c r="A13" s="4">
        <v>1</v>
      </c>
      <c r="B13" s="5" t="s">
        <v>230</v>
      </c>
      <c r="C13" s="40">
        <f>TIME(0,38,52)</f>
        <v>2.6990740740740742E-2</v>
      </c>
      <c r="D13" s="6">
        <f>INDEX('Points Summary'!$E$4:$E$672,G13)</f>
        <v>45.806459155744015</v>
      </c>
      <c r="E13" s="67">
        <f t="shared" si="0"/>
        <v>0.50880479596598671</v>
      </c>
      <c r="F13" s="5"/>
      <c r="G13" s="4">
        <f>MATCH(B13,'Points Summary'!$B$4:$B$673,0)</f>
        <v>2</v>
      </c>
    </row>
    <row r="14" spans="1:9" x14ac:dyDescent="0.2">
      <c r="A14" s="4">
        <v>4</v>
      </c>
      <c r="B14" s="5" t="s">
        <v>406</v>
      </c>
      <c r="C14" s="40">
        <f>TIME(0,42,16)</f>
        <v>2.9351851851851851E-2</v>
      </c>
      <c r="D14" s="6">
        <f>INDEX('Points Summary'!$E$4:$E$672,G14)</f>
        <v>40.612356461444939</v>
      </c>
      <c r="E14" s="67">
        <f t="shared" si="0"/>
        <v>0.46787570354600988</v>
      </c>
      <c r="F14" s="5"/>
      <c r="G14" s="4">
        <f>MATCH(B14,'Points Summary'!$B$4:$B$673,0)</f>
        <v>137</v>
      </c>
    </row>
    <row r="15" spans="1:9" x14ac:dyDescent="0.2">
      <c r="A15" s="4">
        <v>2</v>
      </c>
      <c r="B15" s="5" t="s">
        <v>288</v>
      </c>
      <c r="C15" s="40">
        <f>TIME(0,53,2)</f>
        <v>3.6828703703703704E-2</v>
      </c>
      <c r="D15" s="6">
        <f>INDEX('Points Summary'!$E$4:$E$672,G15)</f>
        <v>38.75071962622004</v>
      </c>
      <c r="E15" s="67">
        <f t="shared" si="0"/>
        <v>0.37288899566080486</v>
      </c>
      <c r="F15" s="5"/>
      <c r="G15" s="4">
        <f>MATCH(B15,'Points Summary'!$B$4:$B$673,0)</f>
        <v>24</v>
      </c>
    </row>
    <row r="16" spans="1:9" x14ac:dyDescent="0.2">
      <c r="A16" s="4">
        <v>1</v>
      </c>
      <c r="B16" s="5" t="s">
        <v>302</v>
      </c>
      <c r="C16" s="40">
        <f>TIME(0,39,28)</f>
        <v>2.7407407407407408E-2</v>
      </c>
      <c r="D16" s="6">
        <f>INDEX('Points Summary'!$E$4:$E$672,G16)</f>
        <v>36.252351526514943</v>
      </c>
      <c r="E16" s="67">
        <f t="shared" si="0"/>
        <v>0.50106958791920653</v>
      </c>
      <c r="F16" s="5"/>
      <c r="G16" s="4">
        <f>MATCH(B16,'Points Summary'!$B$4:$B$673,0)</f>
        <v>110</v>
      </c>
    </row>
    <row r="17" spans="1:7" x14ac:dyDescent="0.2">
      <c r="A17" s="4">
        <v>5</v>
      </c>
      <c r="B17" s="5" t="s">
        <v>407</v>
      </c>
      <c r="C17" s="40">
        <f>TIME(0,44,47)</f>
        <v>3.1099537037037037E-2</v>
      </c>
      <c r="D17" s="6">
        <f>INDEX('Points Summary'!$E$4:$E$672,G17)</f>
        <v>35.078876276813681</v>
      </c>
      <c r="E17" s="67">
        <f t="shared" si="0"/>
        <v>0.44158272578812097</v>
      </c>
      <c r="F17" s="5"/>
      <c r="G17" s="4">
        <f>MATCH(B17,'Points Summary'!$B$4:$B$673,0)</f>
        <v>111</v>
      </c>
    </row>
    <row r="18" spans="1:7" x14ac:dyDescent="0.2">
      <c r="A18" s="4">
        <v>3</v>
      </c>
      <c r="B18" s="5" t="s">
        <v>304</v>
      </c>
      <c r="C18" s="40">
        <f>TIME(0,49,10)</f>
        <v>3.4143518518518517E-2</v>
      </c>
      <c r="D18" s="6">
        <f>INDEX('Points Summary'!$E$4:$E$672,G18)</f>
        <v>35.051243138168495</v>
      </c>
      <c r="E18" s="67">
        <f t="shared" si="0"/>
        <v>0.40221450311616308</v>
      </c>
      <c r="F18" s="5"/>
      <c r="G18" s="4">
        <f>MATCH(B18,'Points Summary'!$B$4:$B$673,0)</f>
        <v>21</v>
      </c>
    </row>
    <row r="19" spans="1:7" x14ac:dyDescent="0.2">
      <c r="A19" s="4">
        <v>1</v>
      </c>
      <c r="B19" s="5" t="s">
        <v>303</v>
      </c>
      <c r="C19" s="40">
        <f>TIME(0,46,25)</f>
        <v>3.2233796296296295E-2</v>
      </c>
      <c r="D19" s="6">
        <f>INDEX('Points Summary'!$E$4:$E$672,G19)</f>
        <v>32.618988373151701</v>
      </c>
      <c r="E19" s="67">
        <f t="shared" si="0"/>
        <v>0.42604408768139357</v>
      </c>
      <c r="F19" s="5"/>
      <c r="G19" s="4">
        <f>MATCH(B19,'Points Summary'!$B$4:$B$673,0)</f>
        <v>95</v>
      </c>
    </row>
    <row r="20" spans="1:7" x14ac:dyDescent="0.2">
      <c r="A20" s="4">
        <v>2</v>
      </c>
      <c r="B20" s="5" t="s">
        <v>412</v>
      </c>
      <c r="C20" s="40">
        <f>TIME(0,43,25)</f>
        <v>3.0150462962962962E-2</v>
      </c>
      <c r="D20" s="6">
        <f>INDEX('Points Summary'!$E$4:$E$672,G20)</f>
        <v>32.160016027976141</v>
      </c>
      <c r="E20" s="67">
        <f t="shared" si="0"/>
        <v>0.45548283462291017</v>
      </c>
      <c r="F20" s="5"/>
      <c r="G20" s="4">
        <f>MATCH(B20,'Points Summary'!$B$4:$B$673,0)</f>
        <v>78</v>
      </c>
    </row>
    <row r="21" spans="1:7" x14ac:dyDescent="0.2">
      <c r="A21" s="4">
        <v>8</v>
      </c>
      <c r="B21" s="5" t="s">
        <v>418</v>
      </c>
      <c r="C21" s="40">
        <f>TIME(0,56,49)</f>
        <v>3.9456018518518522E-2</v>
      </c>
      <c r="D21" s="6">
        <f>INDEX('Points Summary'!$E$4:$E$672,G21)</f>
        <v>20.804245609205289</v>
      </c>
      <c r="E21" s="67">
        <f t="shared" si="0"/>
        <v>0.3480588982671402</v>
      </c>
      <c r="F21" s="5"/>
      <c r="G21" s="4">
        <f>MATCH(B21,'Points Summary'!$B$4:$B$673,0)</f>
        <v>107</v>
      </c>
    </row>
    <row r="22" spans="1:7" x14ac:dyDescent="0.2">
      <c r="A22" s="4">
        <v>1</v>
      </c>
      <c r="B22" s="5" t="s">
        <v>402</v>
      </c>
      <c r="C22" s="40">
        <f>TIME(0,43,43)</f>
        <v>3.0358796296296297E-2</v>
      </c>
      <c r="D22" s="6">
        <f>INDEX('Points Summary'!$E$4:$E$672,G22)</f>
        <v>0</v>
      </c>
      <c r="E22" s="67">
        <f t="shared" si="0"/>
        <v>0.45235714227704193</v>
      </c>
      <c r="F22" s="5"/>
      <c r="G22" s="4">
        <f>MATCH(B22,'Points Summary'!$B$4:$B$673,0)</f>
        <v>87</v>
      </c>
    </row>
    <row r="23" spans="1:7" x14ac:dyDescent="0.2">
      <c r="A23" s="4">
        <v>2</v>
      </c>
      <c r="B23" s="5" t="s">
        <v>403</v>
      </c>
      <c r="C23" s="40">
        <f>TIME(1,3,10)</f>
        <v>4.386574074074074E-2</v>
      </c>
      <c r="D23" s="6">
        <f>INDEX('Points Summary'!$E$4:$E$672,G23)</f>
        <v>0</v>
      </c>
      <c r="E23" s="67">
        <f t="shared" si="0"/>
        <v>0.31306933619859656</v>
      </c>
      <c r="F23" s="5"/>
      <c r="G23" s="4">
        <f>MATCH(B23,'Points Summary'!$B$4:$B$673,0)</f>
        <v>61</v>
      </c>
    </row>
    <row r="24" spans="1:7" x14ac:dyDescent="0.2">
      <c r="A24" s="4">
        <v>3</v>
      </c>
      <c r="B24" s="5" t="s">
        <v>404</v>
      </c>
      <c r="C24" s="40">
        <f>TIME(1,13,1)</f>
        <v>5.0706018518518518E-2</v>
      </c>
      <c r="D24" s="6">
        <f>INDEX('Points Summary'!$E$4:$E$672,G24)</f>
        <v>0</v>
      </c>
      <c r="E24" s="67">
        <f t="shared" si="0"/>
        <v>0.2708360612172292</v>
      </c>
      <c r="F24" s="5"/>
      <c r="G24" s="4">
        <f>MATCH(B24,'Points Summary'!$B$4:$B$673,0)</f>
        <v>82</v>
      </c>
    </row>
    <row r="25" spans="1:7" x14ac:dyDescent="0.2">
      <c r="A25" s="4">
        <v>3</v>
      </c>
      <c r="B25" s="5" t="s">
        <v>405</v>
      </c>
      <c r="C25" s="40">
        <f>TIME(0,41,49)</f>
        <v>2.9039351851851854E-2</v>
      </c>
      <c r="D25" s="6">
        <f>INDEX('Points Summary'!$E$4:$E$672,G25)</f>
        <v>0</v>
      </c>
      <c r="E25" s="67">
        <f t="shared" si="0"/>
        <v>0.47291063538966954</v>
      </c>
      <c r="F25" s="5"/>
      <c r="G25" s="4">
        <f>MATCH(B25,'Points Summary'!$B$4:$B$673,0)</f>
        <v>79</v>
      </c>
    </row>
    <row r="26" spans="1:7" x14ac:dyDescent="0.2">
      <c r="A26" s="4">
        <v>6</v>
      </c>
      <c r="B26" s="5" t="s">
        <v>408</v>
      </c>
      <c r="C26" s="40">
        <f>TIME(0,48,5)</f>
        <v>3.3391203703703708E-2</v>
      </c>
      <c r="D26" s="6">
        <f>INDEX('Points Summary'!$E$4:$E$672,G26)</f>
        <v>0</v>
      </c>
      <c r="E26" s="67">
        <f t="shared" si="0"/>
        <v>0.41127652831635386</v>
      </c>
      <c r="F26" s="5"/>
      <c r="G26" s="4">
        <f>MATCH(B26,'Points Summary'!$B$4:$B$673,0)</f>
        <v>60</v>
      </c>
    </row>
    <row r="27" spans="1:7" x14ac:dyDescent="0.2">
      <c r="A27" s="4">
        <v>2</v>
      </c>
      <c r="B27" s="5" t="s">
        <v>409</v>
      </c>
      <c r="C27" s="40">
        <f>TIME(0,42,34)</f>
        <v>2.9560185185185189E-2</v>
      </c>
      <c r="D27" s="6">
        <f>INDEX('Points Summary'!$E$4:$E$672,G27)</f>
        <v>0</v>
      </c>
      <c r="E27" s="67">
        <f t="shared" si="0"/>
        <v>0.4645782240378547</v>
      </c>
      <c r="F27" s="5"/>
      <c r="G27" s="4">
        <f>MATCH(B27,'Points Summary'!$B$4:$B$673,0)</f>
        <v>76</v>
      </c>
    </row>
    <row r="28" spans="1:7" x14ac:dyDescent="0.2">
      <c r="A28" s="4">
        <v>1</v>
      </c>
      <c r="B28" s="5" t="s">
        <v>485</v>
      </c>
      <c r="C28" s="40">
        <f>TIME(0,43,2)</f>
        <v>2.988425925925926E-2</v>
      </c>
      <c r="D28" s="6">
        <f>INDEX('Points Summary'!$E$4:$E$672,G28)</f>
        <v>0</v>
      </c>
      <c r="E28" s="67">
        <f t="shared" si="0"/>
        <v>0.45954019527214601</v>
      </c>
      <c r="F28" s="5"/>
      <c r="G28" s="4">
        <f>MATCH(B28,'Points Summary'!$B$4:$B$673,0)</f>
        <v>28</v>
      </c>
    </row>
    <row r="29" spans="1:7" x14ac:dyDescent="0.2">
      <c r="A29" s="4">
        <v>2</v>
      </c>
      <c r="B29" s="5" t="s">
        <v>292</v>
      </c>
      <c r="C29" s="40">
        <f>TIME(0,50,44)</f>
        <v>3.5231481481481482E-2</v>
      </c>
      <c r="D29" s="6">
        <f>INDEX('Points Summary'!$E$4:$E$672,G29)</f>
        <v>0</v>
      </c>
      <c r="E29" s="67">
        <f t="shared" si="0"/>
        <v>0.38979395012900164</v>
      </c>
      <c r="F29" s="5"/>
      <c r="G29" s="4">
        <f>MATCH(B29,'Points Summary'!$B$4:$B$673,0)</f>
        <v>27</v>
      </c>
    </row>
    <row r="30" spans="1:7" x14ac:dyDescent="0.2">
      <c r="A30" s="4">
        <v>2</v>
      </c>
      <c r="B30" s="5" t="s">
        <v>410</v>
      </c>
      <c r="C30" s="40">
        <f>TIME(1,6,0)</f>
        <v>4.5833333333333337E-2</v>
      </c>
      <c r="D30" s="6">
        <f>INDEX('Points Summary'!$E$4:$E$672,G30)</f>
        <v>0</v>
      </c>
      <c r="E30" s="67">
        <f t="shared" si="0"/>
        <v>0.29962949095774771</v>
      </c>
      <c r="F30" s="5"/>
      <c r="G30" s="4">
        <f>MATCH(B30,'Points Summary'!$B$4:$B$673,0)</f>
        <v>7</v>
      </c>
    </row>
    <row r="31" spans="1:7" x14ac:dyDescent="0.2">
      <c r="A31" s="4">
        <v>1</v>
      </c>
      <c r="B31" s="5" t="s">
        <v>411</v>
      </c>
      <c r="C31" s="40">
        <f>TIME(0,33,22)</f>
        <v>2.3171296296296297E-2</v>
      </c>
      <c r="D31" s="6">
        <f>INDEX('Points Summary'!$E$4:$E$672,G31)</f>
        <v>0</v>
      </c>
      <c r="E31" s="67">
        <f t="shared" si="0"/>
        <v>0.59267371837796257</v>
      </c>
      <c r="F31" s="5"/>
      <c r="G31" s="4">
        <f>MATCH(B31,'Points Summary'!$B$4:$B$673,0)</f>
        <v>99</v>
      </c>
    </row>
    <row r="32" spans="1:7" x14ac:dyDescent="0.2">
      <c r="A32" s="4">
        <v>3</v>
      </c>
      <c r="B32" s="5" t="s">
        <v>413</v>
      </c>
      <c r="C32" s="40">
        <f>TIME(0,45,45)</f>
        <v>3.1770833333333331E-2</v>
      </c>
      <c r="D32" s="6">
        <f>INDEX('Points Summary'!$E$4:$E$672,G32)</f>
        <v>0</v>
      </c>
      <c r="E32" s="67">
        <f t="shared" si="0"/>
        <v>0.43225238039806235</v>
      </c>
      <c r="F32" s="5"/>
      <c r="G32" s="4">
        <f>MATCH(B32,'Points Summary'!$B$4:$B$673,0)</f>
        <v>131</v>
      </c>
    </row>
    <row r="33" spans="1:7" x14ac:dyDescent="0.2">
      <c r="A33" s="4">
        <v>4</v>
      </c>
      <c r="B33" s="5" t="s">
        <v>414</v>
      </c>
      <c r="C33" s="40">
        <f>TIME(0,47,9)</f>
        <v>3.2743055555555553E-2</v>
      </c>
      <c r="D33" s="6">
        <f>INDEX('Points Summary'!$E$4:$E$672,G33)</f>
        <v>0</v>
      </c>
      <c r="E33" s="67">
        <f t="shared" si="0"/>
        <v>0.41941773919854403</v>
      </c>
      <c r="F33" s="5"/>
      <c r="G33" s="4">
        <f>MATCH(B33,'Points Summary'!$B$4:$B$673,0)</f>
        <v>32</v>
      </c>
    </row>
    <row r="34" spans="1:7" x14ac:dyDescent="0.2">
      <c r="A34" s="4">
        <v>5</v>
      </c>
      <c r="B34" s="5" t="s">
        <v>415</v>
      </c>
      <c r="C34" s="40">
        <f>TIME(0,48,17)</f>
        <v>3.3530092592592591E-2</v>
      </c>
      <c r="D34" s="6">
        <f>INDEX('Points Summary'!$E$4:$E$672,G34)</f>
        <v>0</v>
      </c>
      <c r="E34" s="67">
        <f t="shared" si="0"/>
        <v>0.40957293206512985</v>
      </c>
      <c r="F34" s="5"/>
      <c r="G34" s="4">
        <f>MATCH(B34,'Points Summary'!$B$4:$B$673,0)</f>
        <v>114</v>
      </c>
    </row>
    <row r="35" spans="1:7" x14ac:dyDescent="0.2">
      <c r="A35" s="4">
        <v>6</v>
      </c>
      <c r="B35" s="5" t="s">
        <v>416</v>
      </c>
      <c r="C35" s="40">
        <f>TIME(0,50,23)</f>
        <v>3.498842592592593E-2</v>
      </c>
      <c r="D35" s="6">
        <f>INDEX('Points Summary'!$E$4:$E$672,G35)</f>
        <v>0</v>
      </c>
      <c r="E35" s="67">
        <f t="shared" si="0"/>
        <v>0.39250174799625565</v>
      </c>
      <c r="F35" s="5"/>
      <c r="G35" s="4">
        <f>MATCH(B35,'Points Summary'!$B$4:$B$673,0)</f>
        <v>98</v>
      </c>
    </row>
    <row r="36" spans="1:7" x14ac:dyDescent="0.2">
      <c r="A36" s="4">
        <v>7</v>
      </c>
      <c r="B36" s="5" t="s">
        <v>417</v>
      </c>
      <c r="C36" s="40">
        <f>TIME(0,56,46)</f>
        <v>3.9421296296296295E-2</v>
      </c>
      <c r="D36" s="6">
        <f>INDEX('Points Summary'!$E$4:$E$672,G36)</f>
        <v>0</v>
      </c>
      <c r="E36" s="67">
        <f t="shared" si="0"/>
        <v>0.34836546805422225</v>
      </c>
      <c r="F36" s="5"/>
      <c r="G36" s="4">
        <f>MATCH(B36,'Points Summary'!$B$4:$B$673,0)</f>
        <v>72</v>
      </c>
    </row>
    <row r="37" spans="1:7" x14ac:dyDescent="0.2">
      <c r="A37" s="4">
        <v>9</v>
      </c>
      <c r="B37" s="5" t="s">
        <v>419</v>
      </c>
      <c r="C37" s="40">
        <f>TIME(0,59,31)</f>
        <v>4.1331018518518517E-2</v>
      </c>
      <c r="D37" s="6">
        <f>INDEX('Points Summary'!$E$4:$E$672,G37)</f>
        <v>0</v>
      </c>
      <c r="E37" s="67">
        <f t="shared" si="0"/>
        <v>0.33226905186017391</v>
      </c>
      <c r="F37" s="5"/>
      <c r="G37" s="4">
        <f>MATCH(B37,'Points Summary'!$B$4:$B$673,0)</f>
        <v>44</v>
      </c>
    </row>
    <row r="38" spans="1:7" x14ac:dyDescent="0.2">
      <c r="A38" s="4">
        <v>10</v>
      </c>
      <c r="B38" s="5" t="s">
        <v>420</v>
      </c>
      <c r="C38" s="40">
        <f>TIME(1,3,32)</f>
        <v>4.4120370370370372E-2</v>
      </c>
      <c r="D38" s="6">
        <f>INDEX('Points Summary'!$E$4:$E$672,G38)</f>
        <v>0</v>
      </c>
      <c r="E38" s="67">
        <f t="shared" si="0"/>
        <v>0.31126253520269698</v>
      </c>
      <c r="F38" s="5"/>
      <c r="G38" s="4">
        <f>MATCH(B38,'Points Summary'!$B$4:$B$673,0)</f>
        <v>148</v>
      </c>
    </row>
    <row r="39" spans="1:7" x14ac:dyDescent="0.2">
      <c r="A39" s="4">
        <v>11</v>
      </c>
      <c r="B39" s="5" t="s">
        <v>421</v>
      </c>
      <c r="C39" s="40">
        <f>TIME(1,7,8)</f>
        <v>4.6620370370370368E-2</v>
      </c>
      <c r="D39" s="6">
        <f>INDEX('Points Summary'!$E$4:$E$672,G39)</f>
        <v>0</v>
      </c>
      <c r="E39" s="67">
        <f t="shared" si="0"/>
        <v>0.29457119766451867</v>
      </c>
      <c r="F39" s="5"/>
      <c r="G39" s="4">
        <f>MATCH(B39,'Points Summary'!$B$4:$B$673,0)</f>
        <v>8</v>
      </c>
    </row>
    <row r="40" spans="1:7" x14ac:dyDescent="0.2">
      <c r="A40" s="4"/>
      <c r="B40" s="5"/>
      <c r="C40" s="40"/>
      <c r="D40" s="6"/>
      <c r="E40" s="41"/>
      <c r="F40" s="5"/>
      <c r="G40" s="4"/>
    </row>
    <row r="41" spans="1:7" x14ac:dyDescent="0.2">
      <c r="A41" s="4"/>
      <c r="B41" s="5"/>
      <c r="C41" s="40"/>
      <c r="D41" s="6"/>
      <c r="E41" s="41"/>
      <c r="F41" s="5"/>
      <c r="G41" s="4"/>
    </row>
    <row r="42" spans="1:7" x14ac:dyDescent="0.2">
      <c r="A42" s="4"/>
      <c r="B42" s="5"/>
      <c r="C42" s="40"/>
      <c r="D42" s="6"/>
      <c r="E42" s="41"/>
      <c r="F42" s="5"/>
      <c r="G42" s="4"/>
    </row>
    <row r="43" spans="1:7" x14ac:dyDescent="0.2">
      <c r="A43" s="4"/>
      <c r="B43" s="5"/>
      <c r="C43" s="40"/>
      <c r="D43" s="6"/>
      <c r="E43" s="41"/>
      <c r="F43" s="5"/>
    </row>
    <row r="44" spans="1:7" x14ac:dyDescent="0.2">
      <c r="A44" s="4"/>
      <c r="B44" s="5"/>
      <c r="C44" s="40"/>
      <c r="D44" s="6"/>
      <c r="E44" s="41"/>
      <c r="F44" s="5"/>
    </row>
  </sheetData>
  <sortState ref="A8:E39">
    <sortCondition descending="1" ref="D8:D39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&amp;L&amp;"Tahoma,Bold"&amp;11U.S. Biathlon Association&amp;R&amp;"Tahoma,Bold"&amp;11 2018 Race Points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01"/>
  <sheetViews>
    <sheetView topLeftCell="A13" workbookViewId="0">
      <selection activeCell="B28" sqref="B2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401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43127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1.3891897967602707E-2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47</v>
      </c>
      <c r="C8" s="40">
        <f>TIME(0,31,1)</f>
        <v>2.1539351851851851E-2</v>
      </c>
      <c r="D8" s="6">
        <f>INDEX('Points Summary'!$E$4:$E$672,G8)</f>
        <v>63.139000395507999</v>
      </c>
      <c r="E8" s="67">
        <f>(AVERAGE($D$8:$D$10)/100*AVERAGE($C$8:$C$10))/C8</f>
        <v>0.64495431724926056</v>
      </c>
      <c r="F8" s="5"/>
      <c r="G8" s="4">
        <f>MATCH(B8,'Points Summary'!$B$4:$B$673,0)</f>
        <v>19</v>
      </c>
    </row>
    <row r="9" spans="1:7" x14ac:dyDescent="0.2">
      <c r="A9" s="4">
        <v>1</v>
      </c>
      <c r="B9" s="5" t="s">
        <v>298</v>
      </c>
      <c r="C9" s="40">
        <f>TIME(0,35,2)</f>
        <v>2.4328703703703703E-2</v>
      </c>
      <c r="D9" s="6">
        <f>INDEX('Points Summary'!$E$4:$E$672,G9)</f>
        <v>58.275611717619917</v>
      </c>
      <c r="E9" s="67">
        <f t="shared" ref="E9:E39" si="0">(AVERAGE($D$8:$D$10)/100*AVERAGE($C$8:$C$10))/C9</f>
        <v>0.57100855585198562</v>
      </c>
      <c r="F9" s="5"/>
      <c r="G9" s="4">
        <f>MATCH(B9,'Points Summary'!$B$4:$B$673,0)</f>
        <v>89</v>
      </c>
    </row>
    <row r="10" spans="1:7" x14ac:dyDescent="0.2">
      <c r="A10" s="4">
        <v>1</v>
      </c>
      <c r="B10" s="5" t="s">
        <v>287</v>
      </c>
      <c r="C10" s="40">
        <f>TIME(0,37,25)</f>
        <v>2.5983796296296297E-2</v>
      </c>
      <c r="D10" s="6">
        <f>INDEX('Points Summary'!$E$4:$E$672,G10)</f>
        <v>52.592151089318357</v>
      </c>
      <c r="E10" s="67">
        <f t="shared" si="0"/>
        <v>0.53463696409838479</v>
      </c>
      <c r="F10" s="5"/>
      <c r="G10" s="4">
        <f>MATCH(B10,'Points Summary'!$B$4:$B$673,0)</f>
        <v>84</v>
      </c>
    </row>
    <row r="11" spans="1:7" x14ac:dyDescent="0.2">
      <c r="A11" s="4">
        <v>1</v>
      </c>
      <c r="B11" s="5" t="s">
        <v>229</v>
      </c>
      <c r="C11" s="40">
        <f>TIME(0,36,13)</f>
        <v>2.5150462962962961E-2</v>
      </c>
      <c r="D11" s="6">
        <f>INDEX('Points Summary'!$E$4:$E$672,G11)</f>
        <v>48.407706236395555</v>
      </c>
      <c r="E11" s="67">
        <f t="shared" si="0"/>
        <v>0.55235158048820709</v>
      </c>
      <c r="F11" s="5"/>
      <c r="G11" s="4">
        <f>MATCH(B11,'Points Summary'!$B$4:$B$673,0)</f>
        <v>140</v>
      </c>
    </row>
    <row r="12" spans="1:7" x14ac:dyDescent="0.2">
      <c r="A12" s="4">
        <v>2</v>
      </c>
      <c r="B12" s="5" t="s">
        <v>299</v>
      </c>
      <c r="C12" s="40">
        <f>TIME(0,37,2)</f>
        <v>2.5717592592592594E-2</v>
      </c>
      <c r="D12" s="6">
        <f>INDEX('Points Summary'!$E$4:$E$672,G12)</f>
        <v>48.209769937096013</v>
      </c>
      <c r="E12" s="67">
        <f t="shared" si="0"/>
        <v>0.54017101008140134</v>
      </c>
      <c r="F12" s="5"/>
      <c r="G12" s="4">
        <f>MATCH(B12,'Points Summary'!$B$4:$B$673,0)</f>
        <v>37</v>
      </c>
    </row>
    <row r="13" spans="1:7" x14ac:dyDescent="0.2">
      <c r="A13" s="4">
        <v>2</v>
      </c>
      <c r="B13" s="5" t="s">
        <v>230</v>
      </c>
      <c r="C13" s="40">
        <f>TIME(0,36,21)</f>
        <v>2.5243055555555557E-2</v>
      </c>
      <c r="D13" s="6">
        <f>INDEX('Points Summary'!$E$4:$E$672,G13)</f>
        <v>45.806459155744015</v>
      </c>
      <c r="E13" s="67">
        <f t="shared" si="0"/>
        <v>0.55032553159141395</v>
      </c>
      <c r="F13" s="5"/>
      <c r="G13" s="4">
        <f>MATCH(B13,'Points Summary'!$B$4:$B$673,0)</f>
        <v>2</v>
      </c>
    </row>
    <row r="14" spans="1:7" x14ac:dyDescent="0.2">
      <c r="A14" s="4">
        <v>3</v>
      </c>
      <c r="B14" s="5" t="s">
        <v>406</v>
      </c>
      <c r="C14" s="40">
        <f>TIME(0,40,12)</f>
        <v>2.7916666666666669E-2</v>
      </c>
      <c r="D14" s="6">
        <f>INDEX('Points Summary'!$E$4:$E$672,G14)</f>
        <v>40.612356461444939</v>
      </c>
      <c r="E14" s="67">
        <f t="shared" si="0"/>
        <v>0.4976202257051715</v>
      </c>
      <c r="F14" s="5"/>
      <c r="G14" s="4">
        <f>MATCH(B14,'Points Summary'!$B$4:$B$673,0)</f>
        <v>137</v>
      </c>
    </row>
    <row r="15" spans="1:7" x14ac:dyDescent="0.2">
      <c r="A15" s="4">
        <v>2</v>
      </c>
      <c r="B15" s="5" t="s">
        <v>288</v>
      </c>
      <c r="C15" s="40">
        <f>TIME(0,47,24)</f>
        <v>3.2916666666666664E-2</v>
      </c>
      <c r="D15" s="6">
        <f>INDEX('Points Summary'!$E$4:$E$672,G15)</f>
        <v>38.75071962622004</v>
      </c>
      <c r="E15" s="67">
        <f t="shared" si="0"/>
        <v>0.42203234331957595</v>
      </c>
      <c r="F15" s="5"/>
      <c r="G15" s="4">
        <f>MATCH(B15,'Points Summary'!$B$4:$B$673,0)</f>
        <v>24</v>
      </c>
    </row>
    <row r="16" spans="1:7" x14ac:dyDescent="0.2">
      <c r="A16" s="4">
        <v>1</v>
      </c>
      <c r="B16" s="5" t="s">
        <v>302</v>
      </c>
      <c r="C16" s="40">
        <f>TIME(0,38,24)</f>
        <v>2.6666666666666668E-2</v>
      </c>
      <c r="D16" s="6">
        <f>INDEX('Points Summary'!$E$4:$E$672,G16)</f>
        <v>36.252351526514943</v>
      </c>
      <c r="E16" s="67">
        <f t="shared" si="0"/>
        <v>0.52094617378510144</v>
      </c>
      <c r="F16" s="5"/>
      <c r="G16" s="4">
        <f>MATCH(B16,'Points Summary'!$B$4:$B$673,0)</f>
        <v>110</v>
      </c>
    </row>
    <row r="17" spans="1:7" x14ac:dyDescent="0.2">
      <c r="A17" s="4">
        <v>5</v>
      </c>
      <c r="B17" s="5" t="s">
        <v>407</v>
      </c>
      <c r="C17" s="40">
        <f>TIME(0,43,57)</f>
        <v>3.0520833333333334E-2</v>
      </c>
      <c r="D17" s="6">
        <f>INDEX('Points Summary'!$E$4:$E$672,G17)</f>
        <v>35.078876276813681</v>
      </c>
      <c r="E17" s="67">
        <f t="shared" si="0"/>
        <v>0.45516116207845042</v>
      </c>
      <c r="F17" s="5"/>
      <c r="G17" s="4">
        <f>MATCH(B17,'Points Summary'!$B$4:$B$673,0)</f>
        <v>111</v>
      </c>
    </row>
    <row r="18" spans="1:7" x14ac:dyDescent="0.2">
      <c r="A18" s="4">
        <v>3</v>
      </c>
      <c r="B18" s="5" t="s">
        <v>304</v>
      </c>
      <c r="C18" s="40">
        <f>TIME(0,43,50)</f>
        <v>3.0439814814814819E-2</v>
      </c>
      <c r="D18" s="6">
        <f>INDEX('Points Summary'!$E$4:$E$672,G18)</f>
        <v>35.051243138168495</v>
      </c>
      <c r="E18" s="67">
        <f t="shared" si="0"/>
        <v>0.45637261764291776</v>
      </c>
      <c r="F18" s="5"/>
      <c r="G18" s="4">
        <f>MATCH(B18,'Points Summary'!$B$4:$B$673,0)</f>
        <v>21</v>
      </c>
    </row>
    <row r="19" spans="1:7" x14ac:dyDescent="0.2">
      <c r="A19" s="4">
        <v>1</v>
      </c>
      <c r="B19" s="5" t="s">
        <v>303</v>
      </c>
      <c r="C19" s="40">
        <f>TIME(0,46,22)</f>
        <v>3.2199074074074074E-2</v>
      </c>
      <c r="D19" s="6">
        <f>INDEX('Points Summary'!$E$4:$E$672,G19)</f>
        <v>32.618988373151701</v>
      </c>
      <c r="E19" s="67">
        <f t="shared" si="0"/>
        <v>0.43143780891476413</v>
      </c>
      <c r="F19" s="5"/>
      <c r="G19" s="4">
        <f>MATCH(B19,'Points Summary'!$B$4:$B$673,0)</f>
        <v>95</v>
      </c>
    </row>
    <row r="20" spans="1:7" x14ac:dyDescent="0.2">
      <c r="A20" s="4">
        <v>2</v>
      </c>
      <c r="B20" s="5" t="s">
        <v>412</v>
      </c>
      <c r="C20" s="40">
        <f>TIME(0,38,53)</f>
        <v>2.7002314814814812E-2</v>
      </c>
      <c r="D20" s="6">
        <f>INDEX('Points Summary'!$E$4:$E$672,G20)</f>
        <v>32.160016027976141</v>
      </c>
      <c r="E20" s="67">
        <f t="shared" si="0"/>
        <v>0.51447063197637122</v>
      </c>
      <c r="F20" s="5"/>
      <c r="G20" s="4">
        <f>MATCH(B20,'Points Summary'!$B$4:$B$673,0)</f>
        <v>78</v>
      </c>
    </row>
    <row r="21" spans="1:7" x14ac:dyDescent="0.2">
      <c r="A21" s="4">
        <v>7</v>
      </c>
      <c r="B21" s="5" t="s">
        <v>418</v>
      </c>
      <c r="C21" s="40">
        <f>TIME(0,48,45)</f>
        <v>3.3854166666666664E-2</v>
      </c>
      <c r="D21" s="6">
        <f>INDEX('Points Summary'!$E$4:$E$672,G21)</f>
        <v>20.804245609205289</v>
      </c>
      <c r="E21" s="67">
        <f t="shared" si="0"/>
        <v>0.41034529381226459</v>
      </c>
      <c r="F21" s="5"/>
      <c r="G21" s="4">
        <f>MATCH(B21,'Points Summary'!$B$4:$B$673,0)</f>
        <v>107</v>
      </c>
    </row>
    <row r="22" spans="1:7" x14ac:dyDescent="0.2">
      <c r="A22" s="4">
        <v>1</v>
      </c>
      <c r="B22" s="5" t="s">
        <v>402</v>
      </c>
      <c r="C22" s="40">
        <f>TIME(0,43,12)</f>
        <v>3.0000000000000002E-2</v>
      </c>
      <c r="D22" s="6">
        <f>INDEX('Points Summary'!$E$4:$E$672,G22)</f>
        <v>0</v>
      </c>
      <c r="E22" s="67">
        <f t="shared" si="0"/>
        <v>0.46306326558675687</v>
      </c>
      <c r="F22" s="5"/>
      <c r="G22" s="4">
        <f>MATCH(B22,'Points Summary'!$B$4:$B$673,0)</f>
        <v>87</v>
      </c>
    </row>
    <row r="23" spans="1:7" x14ac:dyDescent="0.2">
      <c r="A23" s="4">
        <v>2</v>
      </c>
      <c r="B23" s="5" t="s">
        <v>403</v>
      </c>
      <c r="C23" s="40">
        <f>TIME(0,57,14)</f>
        <v>3.9745370370370368E-2</v>
      </c>
      <c r="D23" s="6">
        <f>INDEX('Points Summary'!$E$4:$E$672,G23)</f>
        <v>0</v>
      </c>
      <c r="E23" s="67">
        <f t="shared" si="0"/>
        <v>0.3495224182879656</v>
      </c>
      <c r="F23" s="5"/>
      <c r="G23" s="4">
        <f>MATCH(B23,'Points Summary'!$B$4:$B$673,0)</f>
        <v>61</v>
      </c>
    </row>
    <row r="24" spans="1:7" x14ac:dyDescent="0.2">
      <c r="A24" s="4">
        <v>3</v>
      </c>
      <c r="B24" s="5" t="s">
        <v>404</v>
      </c>
      <c r="C24" s="40">
        <f>TIME(1,5,28)</f>
        <v>4.5462962962962962E-2</v>
      </c>
      <c r="D24" s="6">
        <f>INDEX('Points Summary'!$E$4:$E$672,G24)</f>
        <v>0</v>
      </c>
      <c r="E24" s="67">
        <f t="shared" si="0"/>
        <v>0.30556516914482534</v>
      </c>
      <c r="F24" s="5"/>
      <c r="G24" s="4">
        <f>MATCH(B24,'Points Summary'!$B$4:$B$673,0)</f>
        <v>82</v>
      </c>
    </row>
    <row r="25" spans="1:7" x14ac:dyDescent="0.2">
      <c r="A25" s="4">
        <v>4</v>
      </c>
      <c r="B25" s="5" t="s">
        <v>405</v>
      </c>
      <c r="C25" s="40">
        <f>TIME(0,41,8)</f>
        <v>2.8564814814814817E-2</v>
      </c>
      <c r="D25" s="6">
        <f>INDEX('Points Summary'!$E$4:$E$672,G25)</f>
        <v>0</v>
      </c>
      <c r="E25" s="67">
        <f t="shared" si="0"/>
        <v>0.4863290050246652</v>
      </c>
      <c r="F25" s="5"/>
      <c r="G25" s="4">
        <f>MATCH(B25,'Points Summary'!$B$4:$B$673,0)</f>
        <v>79</v>
      </c>
    </row>
    <row r="26" spans="1:7" x14ac:dyDescent="0.2">
      <c r="A26" s="4">
        <v>6</v>
      </c>
      <c r="B26" s="5" t="s">
        <v>408</v>
      </c>
      <c r="C26" s="40">
        <f>TIME(0,46,10)</f>
        <v>3.2060185185185185E-2</v>
      </c>
      <c r="D26" s="6">
        <f>INDEX('Points Summary'!$E$4:$E$672,G26)</f>
        <v>0</v>
      </c>
      <c r="E26" s="67">
        <f t="shared" si="0"/>
        <v>0.43330685357432269</v>
      </c>
      <c r="F26" s="5"/>
      <c r="G26" s="4">
        <f>MATCH(B26,'Points Summary'!$B$4:$B$673,0)</f>
        <v>60</v>
      </c>
    </row>
    <row r="27" spans="1:7" x14ac:dyDescent="0.2">
      <c r="A27" s="4">
        <v>2</v>
      </c>
      <c r="B27" s="5" t="s">
        <v>409</v>
      </c>
      <c r="C27" s="40">
        <f>TIME(0,43,26)</f>
        <v>3.0162037037037032E-2</v>
      </c>
      <c r="D27" s="6">
        <f>INDEX('Points Summary'!$E$4:$E$672,G27)</f>
        <v>0</v>
      </c>
      <c r="E27" s="67">
        <f t="shared" si="0"/>
        <v>0.46057558879542365</v>
      </c>
      <c r="F27" s="5"/>
      <c r="G27" s="4">
        <f>MATCH(B27,'Points Summary'!$B$4:$B$673,0)</f>
        <v>76</v>
      </c>
    </row>
    <row r="28" spans="1:7" x14ac:dyDescent="0.2">
      <c r="A28" s="4">
        <v>1</v>
      </c>
      <c r="B28" s="5" t="s">
        <v>485</v>
      </c>
      <c r="C28" s="40">
        <f>TIME(0,38,28)</f>
        <v>2.6712962962962966E-2</v>
      </c>
      <c r="D28" s="6">
        <f>INDEX('Points Summary'!$E$4:$E$672,G28)</f>
        <v>0</v>
      </c>
      <c r="E28" s="67">
        <f t="shared" si="0"/>
        <v>0.52004332079760562</v>
      </c>
      <c r="F28" s="5"/>
      <c r="G28" s="4">
        <f>MATCH(B28,'Points Summary'!$B$4:$B$673,0)</f>
        <v>28</v>
      </c>
    </row>
    <row r="29" spans="1:7" x14ac:dyDescent="0.2">
      <c r="A29" s="4">
        <v>2</v>
      </c>
      <c r="B29" s="5" t="s">
        <v>292</v>
      </c>
      <c r="C29" s="40">
        <f>TIME(0,49,5)</f>
        <v>3.408564814814815E-2</v>
      </c>
      <c r="D29" s="6">
        <f>INDEX('Points Summary'!$E$4:$E$672,G29)</f>
        <v>0</v>
      </c>
      <c r="E29" s="67">
        <f t="shared" si="0"/>
        <v>0.40755856855717276</v>
      </c>
      <c r="F29" s="5"/>
      <c r="G29" s="4">
        <f>MATCH(B29,'Points Summary'!$B$4:$B$673,0)</f>
        <v>27</v>
      </c>
    </row>
    <row r="30" spans="1:7" x14ac:dyDescent="0.2">
      <c r="A30" s="4">
        <v>10</v>
      </c>
      <c r="B30" s="5" t="s">
        <v>410</v>
      </c>
      <c r="C30" s="40">
        <f>TIME(1,1,3)</f>
        <v>4.2395833333333334E-2</v>
      </c>
      <c r="D30" s="6">
        <f>INDEX('Points Summary'!$E$4:$E$672,G30)</f>
        <v>0</v>
      </c>
      <c r="E30" s="67">
        <f t="shared" si="0"/>
        <v>0.32767130341274198</v>
      </c>
      <c r="F30" s="5"/>
      <c r="G30" s="4">
        <f>MATCH(B30,'Points Summary'!$B$4:$B$673,0)</f>
        <v>7</v>
      </c>
    </row>
    <row r="31" spans="1:7" x14ac:dyDescent="0.2">
      <c r="A31" s="4">
        <v>1</v>
      </c>
      <c r="B31" s="5" t="s">
        <v>411</v>
      </c>
      <c r="C31" s="40">
        <f>TIME(0,31,10)</f>
        <v>2.164351851851852E-2</v>
      </c>
      <c r="D31" s="6">
        <f>INDEX('Points Summary'!$E$4:$E$672,G31)</f>
        <v>0</v>
      </c>
      <c r="E31" s="67">
        <f t="shared" si="0"/>
        <v>0.64185025903790038</v>
      </c>
      <c r="F31" s="5"/>
      <c r="G31" s="4">
        <f>MATCH(B31,'Points Summary'!$B$4:$B$673,0)</f>
        <v>99</v>
      </c>
    </row>
    <row r="32" spans="1:7" x14ac:dyDescent="0.2">
      <c r="A32" s="4">
        <v>3</v>
      </c>
      <c r="B32" s="5" t="s">
        <v>413</v>
      </c>
      <c r="C32" s="40">
        <f>TIME(0,43,31)</f>
        <v>3.0219907407407407E-2</v>
      </c>
      <c r="D32" s="6">
        <f>INDEX('Points Summary'!$E$4:$E$672,G32)</f>
        <v>0</v>
      </c>
      <c r="E32" s="67">
        <f t="shared" si="0"/>
        <v>0.45969359800876058</v>
      </c>
      <c r="F32" s="5"/>
      <c r="G32" s="4">
        <f>MATCH(B32,'Points Summary'!$B$4:$B$673,0)</f>
        <v>131</v>
      </c>
    </row>
    <row r="33" spans="1:7" x14ac:dyDescent="0.2">
      <c r="A33" s="4">
        <v>4</v>
      </c>
      <c r="B33" s="5" t="s">
        <v>414</v>
      </c>
      <c r="C33" s="40">
        <f>TIME(0,46,12)</f>
        <v>3.2083333333333332E-2</v>
      </c>
      <c r="D33" s="6">
        <f>INDEX('Points Summary'!$E$4:$E$672,G33)</f>
        <v>0</v>
      </c>
      <c r="E33" s="67">
        <f t="shared" si="0"/>
        <v>0.43299422236683766</v>
      </c>
      <c r="F33" s="5"/>
      <c r="G33" s="4">
        <f>MATCH(B33,'Points Summary'!$B$4:$B$673,0)</f>
        <v>32</v>
      </c>
    </row>
    <row r="34" spans="1:7" x14ac:dyDescent="0.2">
      <c r="A34" s="4">
        <v>6</v>
      </c>
      <c r="B34" s="5" t="s">
        <v>415</v>
      </c>
      <c r="C34" s="40">
        <f>TIME(0,48,45)</f>
        <v>3.3854166666666664E-2</v>
      </c>
      <c r="D34" s="6">
        <f>INDEX('Points Summary'!$E$4:$E$672,G34)</f>
        <v>0</v>
      </c>
      <c r="E34" s="67">
        <f t="shared" si="0"/>
        <v>0.41034529381226459</v>
      </c>
      <c r="F34" s="5"/>
      <c r="G34" s="4">
        <f>MATCH(B34,'Points Summary'!$B$4:$B$673,0)</f>
        <v>114</v>
      </c>
    </row>
    <row r="35" spans="1:7" x14ac:dyDescent="0.2">
      <c r="A35" s="4">
        <v>5</v>
      </c>
      <c r="B35" s="5" t="s">
        <v>416</v>
      </c>
      <c r="C35" s="40">
        <f>TIME(0,47,15)</f>
        <v>3.2812500000000001E-2</v>
      </c>
      <c r="D35" s="6">
        <f>INDEX('Points Summary'!$E$4:$E$672,G35)</f>
        <v>0</v>
      </c>
      <c r="E35" s="67">
        <f t="shared" si="0"/>
        <v>0.42337212853646344</v>
      </c>
      <c r="F35" s="5"/>
      <c r="G35" s="4">
        <f>MATCH(B35,'Points Summary'!$B$4:$B$673,0)</f>
        <v>98</v>
      </c>
    </row>
    <row r="36" spans="1:7" x14ac:dyDescent="0.2">
      <c r="A36" s="4">
        <v>9</v>
      </c>
      <c r="B36" s="5" t="s">
        <v>417</v>
      </c>
      <c r="C36" s="40">
        <f>TIME(1,0,37)</f>
        <v>4.2094907407407407E-2</v>
      </c>
      <c r="D36" s="6">
        <f>INDEX('Points Summary'!$E$4:$E$672,G36)</f>
        <v>0</v>
      </c>
      <c r="E36" s="67">
        <f t="shared" si="0"/>
        <v>0.33001374330516192</v>
      </c>
      <c r="F36" s="5"/>
      <c r="G36" s="4">
        <f>MATCH(B36,'Points Summary'!$B$4:$B$673,0)</f>
        <v>72</v>
      </c>
    </row>
    <row r="37" spans="1:7" x14ac:dyDescent="0.2">
      <c r="A37" s="4">
        <v>8</v>
      </c>
      <c r="B37" s="5" t="s">
        <v>419</v>
      </c>
      <c r="C37" s="40">
        <f>TIME(0,53,18)</f>
        <v>3.7013888888888888E-2</v>
      </c>
      <c r="D37" s="6">
        <f>INDEX('Points Summary'!$E$4:$E$672,G37)</f>
        <v>0</v>
      </c>
      <c r="E37" s="67">
        <f t="shared" si="0"/>
        <v>0.37531581751121762</v>
      </c>
      <c r="F37" s="5"/>
      <c r="G37" s="4">
        <f>MATCH(B37,'Points Summary'!$B$4:$B$673,0)</f>
        <v>44</v>
      </c>
    </row>
    <row r="38" spans="1:7" x14ac:dyDescent="0.2">
      <c r="A38" s="4">
        <v>12</v>
      </c>
      <c r="B38" s="5" t="s">
        <v>420</v>
      </c>
      <c r="C38" s="40">
        <f>TIME(1,5,6)</f>
        <v>4.520833333333333E-2</v>
      </c>
      <c r="D38" s="6">
        <f>INDEX('Points Summary'!$E$4:$E$672,G38)</f>
        <v>0</v>
      </c>
      <c r="E38" s="67">
        <f t="shared" si="0"/>
        <v>0.30728622232485253</v>
      </c>
      <c r="F38" s="5"/>
      <c r="G38" s="4">
        <f>MATCH(B38,'Points Summary'!$B$4:$B$673,0)</f>
        <v>148</v>
      </c>
    </row>
    <row r="39" spans="1:7" x14ac:dyDescent="0.2">
      <c r="A39" s="4">
        <v>11</v>
      </c>
      <c r="B39" s="5" t="s">
        <v>421</v>
      </c>
      <c r="C39" s="40">
        <f>TIME(1,1,37)</f>
        <v>4.2789351851851849E-2</v>
      </c>
      <c r="D39" s="6">
        <f>INDEX('Points Summary'!$E$4:$E$672,G39)</f>
        <v>0</v>
      </c>
      <c r="E39" s="67">
        <f t="shared" si="0"/>
        <v>0.32465782645411789</v>
      </c>
      <c r="F39" s="5"/>
      <c r="G39" s="4">
        <f>MATCH(B39,'Points Summary'!$B$4:$B$673,0)</f>
        <v>8</v>
      </c>
    </row>
    <row r="40" spans="1:7" x14ac:dyDescent="0.2">
      <c r="A40" s="4"/>
      <c r="B40" s="5"/>
      <c r="C40" s="40"/>
      <c r="D40" s="6"/>
      <c r="E40" s="67"/>
      <c r="F40" s="5"/>
      <c r="G40" s="4"/>
    </row>
    <row r="41" spans="1:7" x14ac:dyDescent="0.2">
      <c r="A41" s="4"/>
      <c r="B41" s="5"/>
      <c r="C41" s="40"/>
      <c r="D41" s="6"/>
      <c r="E41" s="67"/>
      <c r="F41" s="5"/>
      <c r="G41" s="4"/>
    </row>
    <row r="42" spans="1:7" x14ac:dyDescent="0.2">
      <c r="A42" s="4"/>
      <c r="B42" s="5"/>
      <c r="C42" s="40"/>
      <c r="D42" s="6"/>
      <c r="E42" s="67"/>
      <c r="F42" s="5"/>
      <c r="G42" s="4"/>
    </row>
    <row r="43" spans="1:7" x14ac:dyDescent="0.2">
      <c r="A43" s="4"/>
      <c r="B43" s="5"/>
      <c r="C43" s="40"/>
      <c r="D43" s="6"/>
      <c r="E43" s="67"/>
      <c r="F43" s="5"/>
      <c r="G43" s="4"/>
    </row>
    <row r="44" spans="1:7" x14ac:dyDescent="0.2">
      <c r="A44" s="4"/>
      <c r="B44" s="5"/>
      <c r="C44" s="40"/>
      <c r="D44" s="6"/>
      <c r="E44" s="67"/>
      <c r="F44" s="5"/>
      <c r="G44" s="4"/>
    </row>
    <row r="45" spans="1:7" x14ac:dyDescent="0.2">
      <c r="A45" s="4"/>
      <c r="B45" s="5"/>
      <c r="C45" s="40"/>
      <c r="D45" s="6"/>
      <c r="E45" s="67"/>
      <c r="F45" s="5"/>
      <c r="G45" s="4"/>
    </row>
    <row r="46" spans="1:7" x14ac:dyDescent="0.2">
      <c r="A46" s="4"/>
      <c r="B46" s="5"/>
      <c r="C46" s="40"/>
      <c r="D46" s="6"/>
      <c r="E46" s="67"/>
      <c r="F46" s="5"/>
      <c r="G46" s="4"/>
    </row>
    <row r="47" spans="1:7" x14ac:dyDescent="0.2">
      <c r="A47" s="4"/>
      <c r="B47" s="5"/>
      <c r="C47" s="40"/>
      <c r="D47" s="6"/>
      <c r="E47" s="67"/>
      <c r="F47" s="5"/>
      <c r="G47" s="4"/>
    </row>
    <row r="48" spans="1:7" x14ac:dyDescent="0.2">
      <c r="A48" s="4"/>
      <c r="B48" s="5"/>
      <c r="C48" s="40"/>
      <c r="D48" s="6"/>
      <c r="E48" s="67"/>
      <c r="F48" s="5"/>
      <c r="G48" s="4"/>
    </row>
    <row r="49" spans="1:7" x14ac:dyDescent="0.2">
      <c r="A49" s="4"/>
      <c r="B49" s="5"/>
      <c r="C49" s="40"/>
      <c r="D49" s="6"/>
      <c r="E49" s="67"/>
      <c r="F49" s="5"/>
      <c r="G49" s="4"/>
    </row>
    <row r="50" spans="1:7" x14ac:dyDescent="0.2">
      <c r="A50" s="4"/>
      <c r="B50" s="5"/>
      <c r="C50" s="40"/>
      <c r="D50" s="6"/>
      <c r="E50" s="67"/>
      <c r="F50" s="5"/>
      <c r="G50" s="4"/>
    </row>
    <row r="51" spans="1:7" x14ac:dyDescent="0.2">
      <c r="A51" s="4"/>
      <c r="B51" s="5"/>
      <c r="C51" s="40"/>
      <c r="D51" s="6"/>
      <c r="E51" s="67"/>
      <c r="F51" s="5"/>
      <c r="G51" s="4"/>
    </row>
    <row r="52" spans="1:7" x14ac:dyDescent="0.2">
      <c r="A52" s="4"/>
      <c r="B52" s="5"/>
      <c r="C52" s="40"/>
      <c r="D52" s="6"/>
      <c r="E52" s="67"/>
      <c r="F52" s="5"/>
      <c r="G52" s="4"/>
    </row>
    <row r="53" spans="1:7" x14ac:dyDescent="0.2">
      <c r="A53" s="4"/>
      <c r="B53" s="5"/>
      <c r="C53" s="40"/>
      <c r="D53" s="6"/>
      <c r="E53" s="67"/>
      <c r="F53" s="5"/>
      <c r="G53" s="4"/>
    </row>
    <row r="54" spans="1:7" x14ac:dyDescent="0.2">
      <c r="A54" s="4"/>
      <c r="B54" s="5"/>
      <c r="C54" s="40"/>
      <c r="D54" s="6"/>
      <c r="E54" s="67"/>
      <c r="F54" s="5"/>
      <c r="G54" s="4"/>
    </row>
    <row r="55" spans="1:7" x14ac:dyDescent="0.2">
      <c r="A55" s="4"/>
      <c r="B55" s="5"/>
      <c r="C55" s="40"/>
      <c r="D55" s="6"/>
      <c r="E55" s="67"/>
      <c r="F55" s="5"/>
      <c r="G55" s="4"/>
    </row>
    <row r="56" spans="1:7" x14ac:dyDescent="0.2">
      <c r="A56" s="4"/>
      <c r="B56" s="5"/>
      <c r="C56" s="40"/>
      <c r="D56" s="6"/>
      <c r="E56" s="67"/>
      <c r="F56" s="5"/>
      <c r="G56" s="4"/>
    </row>
    <row r="57" spans="1:7" x14ac:dyDescent="0.2">
      <c r="A57" s="4"/>
      <c r="B57" s="5"/>
      <c r="C57" s="40"/>
      <c r="D57" s="6"/>
      <c r="E57" s="67"/>
      <c r="F57" s="5"/>
      <c r="G57" s="4"/>
    </row>
    <row r="58" spans="1:7" x14ac:dyDescent="0.2">
      <c r="A58" s="4"/>
      <c r="B58" s="5"/>
      <c r="C58" s="40"/>
      <c r="D58" s="6"/>
      <c r="E58" s="67"/>
      <c r="F58" s="5"/>
      <c r="G58" s="4"/>
    </row>
    <row r="59" spans="1:7" x14ac:dyDescent="0.2">
      <c r="A59" s="4"/>
      <c r="B59" s="5"/>
      <c r="C59" s="40"/>
      <c r="D59" s="6"/>
      <c r="E59" s="67"/>
      <c r="F59" s="5"/>
      <c r="G59" s="4"/>
    </row>
    <row r="60" spans="1:7" x14ac:dyDescent="0.2">
      <c r="A60" s="4"/>
      <c r="B60" s="5"/>
      <c r="C60" s="40"/>
      <c r="D60" s="6"/>
      <c r="E60" s="67"/>
      <c r="F60" s="5"/>
      <c r="G60" s="4"/>
    </row>
    <row r="61" spans="1:7" x14ac:dyDescent="0.2">
      <c r="A61" s="4"/>
      <c r="B61" s="5"/>
      <c r="C61" s="40"/>
      <c r="D61" s="6"/>
      <c r="E61" s="67"/>
      <c r="F61" s="5"/>
      <c r="G61" s="4"/>
    </row>
    <row r="62" spans="1:7" x14ac:dyDescent="0.2">
      <c r="A62" s="4"/>
      <c r="B62" s="5"/>
      <c r="C62" s="40"/>
      <c r="D62" s="6"/>
      <c r="E62" s="67"/>
      <c r="F62" s="5"/>
      <c r="G62" s="4"/>
    </row>
    <row r="63" spans="1:7" x14ac:dyDescent="0.2">
      <c r="A63" s="4"/>
      <c r="B63" s="5"/>
      <c r="C63" s="40"/>
      <c r="D63" s="6"/>
      <c r="E63" s="67"/>
      <c r="F63" s="5"/>
      <c r="G63" s="4"/>
    </row>
    <row r="64" spans="1:7" x14ac:dyDescent="0.2">
      <c r="A64" s="4"/>
      <c r="B64" s="5"/>
      <c r="C64" s="40"/>
      <c r="D64" s="6"/>
      <c r="E64" s="67"/>
      <c r="F64" s="5"/>
      <c r="G64" s="4"/>
    </row>
    <row r="65" spans="1:7" x14ac:dyDescent="0.2">
      <c r="A65" s="4"/>
      <c r="B65" s="5"/>
      <c r="C65" s="40"/>
      <c r="D65" s="6"/>
      <c r="E65" s="67"/>
      <c r="F65" s="5"/>
      <c r="G65" s="4"/>
    </row>
    <row r="66" spans="1:7" x14ac:dyDescent="0.2">
      <c r="A66" s="4"/>
      <c r="B66" s="5"/>
      <c r="C66" s="40"/>
      <c r="D66" s="6"/>
      <c r="E66" s="67"/>
      <c r="F66" s="5"/>
      <c r="G66" s="4"/>
    </row>
    <row r="67" spans="1:7" x14ac:dyDescent="0.2">
      <c r="A67" s="4"/>
      <c r="B67" s="5"/>
      <c r="C67" s="40"/>
      <c r="D67" s="6"/>
      <c r="E67" s="67"/>
      <c r="F67" s="5"/>
      <c r="G67" s="4"/>
    </row>
    <row r="68" spans="1:7" x14ac:dyDescent="0.2">
      <c r="A68" s="4"/>
      <c r="B68" s="5"/>
      <c r="C68" s="40"/>
      <c r="D68" s="6"/>
      <c r="E68" s="67"/>
      <c r="F68" s="5"/>
      <c r="G68" s="4"/>
    </row>
    <row r="69" spans="1:7" x14ac:dyDescent="0.2">
      <c r="A69" s="4"/>
      <c r="B69" s="5"/>
      <c r="C69" s="40"/>
      <c r="D69" s="6"/>
      <c r="E69" s="67"/>
      <c r="F69" s="5"/>
      <c r="G69" s="4"/>
    </row>
    <row r="70" spans="1:7" x14ac:dyDescent="0.2">
      <c r="A70" s="4"/>
      <c r="B70" s="5"/>
      <c r="C70" s="40"/>
      <c r="D70" s="6"/>
      <c r="E70" s="67"/>
      <c r="F70" s="5"/>
      <c r="G70" s="4"/>
    </row>
    <row r="71" spans="1:7" x14ac:dyDescent="0.2">
      <c r="A71" s="4"/>
      <c r="B71" s="5"/>
      <c r="C71" s="40"/>
      <c r="D71" s="6"/>
      <c r="E71" s="67"/>
      <c r="F71" s="5"/>
      <c r="G71" s="4"/>
    </row>
    <row r="72" spans="1:7" x14ac:dyDescent="0.2">
      <c r="A72" s="4"/>
      <c r="B72" s="5"/>
      <c r="C72" s="40"/>
      <c r="D72" s="6"/>
      <c r="E72" s="67"/>
      <c r="F72" s="5"/>
      <c r="G72" s="4"/>
    </row>
    <row r="73" spans="1:7" x14ac:dyDescent="0.2">
      <c r="A73" s="4"/>
      <c r="B73" s="5"/>
      <c r="C73" s="40"/>
      <c r="D73" s="6"/>
      <c r="E73" s="67"/>
      <c r="F73" s="5"/>
      <c r="G73" s="4"/>
    </row>
    <row r="74" spans="1:7" x14ac:dyDescent="0.2">
      <c r="A74" s="4"/>
      <c r="B74" s="5"/>
      <c r="C74" s="40"/>
      <c r="D74" s="6"/>
      <c r="E74" s="67"/>
      <c r="F74" s="5"/>
      <c r="G74" s="4"/>
    </row>
    <row r="75" spans="1:7" x14ac:dyDescent="0.2">
      <c r="A75" s="4"/>
      <c r="B75" s="5"/>
      <c r="C75" s="40"/>
      <c r="D75" s="6"/>
      <c r="E75" s="67"/>
      <c r="F75" s="5"/>
      <c r="G75" s="4"/>
    </row>
    <row r="76" spans="1:7" x14ac:dyDescent="0.2">
      <c r="A76" s="4"/>
      <c r="B76" s="5"/>
      <c r="C76" s="40"/>
      <c r="D76" s="6"/>
      <c r="E76" s="67"/>
      <c r="F76" s="5"/>
      <c r="G76" s="4"/>
    </row>
    <row r="77" spans="1:7" x14ac:dyDescent="0.2">
      <c r="A77" s="4"/>
      <c r="B77" s="5"/>
      <c r="C77" s="40"/>
      <c r="D77" s="6"/>
      <c r="E77" s="67"/>
      <c r="F77" s="5"/>
      <c r="G77" s="4"/>
    </row>
    <row r="78" spans="1:7" x14ac:dyDescent="0.2">
      <c r="A78" s="4"/>
      <c r="B78" s="5"/>
      <c r="C78" s="40"/>
      <c r="D78" s="6"/>
      <c r="E78" s="67"/>
      <c r="F78" s="5"/>
      <c r="G78" s="4"/>
    </row>
    <row r="79" spans="1:7" x14ac:dyDescent="0.2">
      <c r="A79" s="4"/>
      <c r="B79" s="5"/>
      <c r="C79" s="40"/>
      <c r="D79" s="6"/>
      <c r="E79" s="67"/>
      <c r="F79" s="5"/>
      <c r="G79" s="4"/>
    </row>
    <row r="80" spans="1:7" x14ac:dyDescent="0.2">
      <c r="A80" s="4"/>
      <c r="B80" s="5"/>
      <c r="C80" s="40"/>
      <c r="D80" s="6"/>
      <c r="E80" s="67"/>
      <c r="F80" s="5"/>
      <c r="G80" s="4"/>
    </row>
    <row r="81" spans="1:7" x14ac:dyDescent="0.2">
      <c r="A81" s="4"/>
      <c r="B81" s="5"/>
      <c r="C81" s="40"/>
      <c r="D81" s="6"/>
      <c r="E81" s="67"/>
      <c r="F81" s="5"/>
      <c r="G81" s="4"/>
    </row>
    <row r="82" spans="1:7" x14ac:dyDescent="0.2">
      <c r="A82" s="4"/>
      <c r="B82" s="5"/>
      <c r="C82" s="40"/>
      <c r="D82" s="6"/>
      <c r="E82" s="67"/>
      <c r="F82" s="5"/>
      <c r="G82" s="4"/>
    </row>
    <row r="83" spans="1:7" x14ac:dyDescent="0.2">
      <c r="A83" s="4"/>
      <c r="B83" s="5"/>
      <c r="C83" s="40"/>
      <c r="D83" s="6"/>
      <c r="E83" s="67"/>
      <c r="F83" s="5"/>
      <c r="G83" s="4"/>
    </row>
    <row r="84" spans="1:7" x14ac:dyDescent="0.2">
      <c r="A84" s="4"/>
      <c r="B84" s="5"/>
      <c r="C84" s="40"/>
      <c r="D84" s="6"/>
      <c r="E84" s="67"/>
      <c r="F84" s="5"/>
      <c r="G84" s="4"/>
    </row>
    <row r="85" spans="1:7" x14ac:dyDescent="0.2">
      <c r="A85" s="4"/>
      <c r="B85" s="5"/>
      <c r="C85" s="40"/>
      <c r="D85" s="6"/>
      <c r="E85" s="67"/>
      <c r="F85" s="5"/>
      <c r="G85" s="4"/>
    </row>
    <row r="86" spans="1:7" x14ac:dyDescent="0.2">
      <c r="A86" s="4"/>
      <c r="B86" s="5"/>
      <c r="C86" s="40"/>
      <c r="D86" s="6"/>
      <c r="E86" s="67"/>
      <c r="F86" s="5"/>
      <c r="G86" s="4"/>
    </row>
    <row r="87" spans="1:7" x14ac:dyDescent="0.2">
      <c r="A87" s="4"/>
      <c r="B87" s="5"/>
      <c r="C87" s="40"/>
      <c r="D87" s="6"/>
      <c r="E87" s="67"/>
      <c r="F87" s="5"/>
      <c r="G87" s="4"/>
    </row>
    <row r="88" spans="1:7" x14ac:dyDescent="0.2">
      <c r="A88" s="4"/>
      <c r="B88" s="5"/>
      <c r="C88" s="40"/>
      <c r="D88" s="6"/>
      <c r="E88" s="67"/>
      <c r="F88" s="5"/>
      <c r="G88" s="4"/>
    </row>
    <row r="89" spans="1:7" x14ac:dyDescent="0.2">
      <c r="A89" s="4"/>
      <c r="B89" s="5"/>
      <c r="C89" s="40"/>
      <c r="D89" s="6"/>
      <c r="E89" s="67"/>
      <c r="F89" s="5"/>
      <c r="G89" s="4"/>
    </row>
    <row r="90" spans="1:7" x14ac:dyDescent="0.2">
      <c r="A90" s="4"/>
      <c r="B90" s="5"/>
      <c r="C90" s="40"/>
      <c r="D90" s="6"/>
      <c r="E90" s="67"/>
      <c r="F90" s="5"/>
      <c r="G90" s="4"/>
    </row>
    <row r="91" spans="1:7" x14ac:dyDescent="0.2">
      <c r="A91" s="4"/>
      <c r="B91" s="5"/>
      <c r="C91" s="40"/>
      <c r="D91" s="6"/>
      <c r="E91" s="67"/>
      <c r="F91" s="5"/>
      <c r="G91" s="4"/>
    </row>
    <row r="92" spans="1:7" x14ac:dyDescent="0.2">
      <c r="A92" s="4"/>
      <c r="B92" s="5"/>
      <c r="C92" s="40"/>
      <c r="D92" s="6"/>
      <c r="E92" s="67"/>
      <c r="F92" s="5"/>
      <c r="G92" s="4"/>
    </row>
    <row r="93" spans="1:7" x14ac:dyDescent="0.2">
      <c r="A93" s="4"/>
      <c r="B93" s="5"/>
      <c r="C93" s="40"/>
      <c r="D93" s="6"/>
      <c r="E93" s="67"/>
      <c r="F93" s="5"/>
      <c r="G93" s="4"/>
    </row>
    <row r="94" spans="1:7" x14ac:dyDescent="0.2">
      <c r="A94" s="4"/>
      <c r="B94" s="5"/>
      <c r="C94" s="40"/>
      <c r="D94" s="6"/>
      <c r="E94" s="67"/>
      <c r="F94" s="5"/>
      <c r="G94" s="4"/>
    </row>
    <row r="95" spans="1:7" x14ac:dyDescent="0.2">
      <c r="A95" s="4"/>
      <c r="B95" s="5"/>
      <c r="C95" s="40"/>
      <c r="D95" s="6"/>
      <c r="E95" s="67"/>
      <c r="F95" s="5"/>
      <c r="G95" s="4"/>
    </row>
    <row r="96" spans="1:7" x14ac:dyDescent="0.2">
      <c r="A96" s="4"/>
      <c r="B96" s="5"/>
      <c r="C96" s="40"/>
      <c r="D96" s="6"/>
      <c r="E96" s="67"/>
      <c r="F96" s="5"/>
      <c r="G96" s="4"/>
    </row>
    <row r="97" spans="1:7" x14ac:dyDescent="0.2">
      <c r="A97" s="4"/>
      <c r="B97" s="5"/>
      <c r="C97" s="40"/>
      <c r="D97" s="6"/>
      <c r="E97" s="67"/>
      <c r="F97" s="5"/>
      <c r="G97" s="4"/>
    </row>
    <row r="98" spans="1:7" x14ac:dyDescent="0.2">
      <c r="A98" s="4"/>
      <c r="B98" s="5"/>
      <c r="C98" s="40"/>
      <c r="D98" s="6"/>
      <c r="E98" s="67"/>
      <c r="F98" s="5"/>
      <c r="G98" s="4"/>
    </row>
    <row r="99" spans="1:7" x14ac:dyDescent="0.2">
      <c r="A99" s="4"/>
      <c r="B99" s="5"/>
      <c r="C99" s="40"/>
      <c r="D99" s="6"/>
      <c r="E99" s="67"/>
      <c r="F99" s="5"/>
      <c r="G99" s="4"/>
    </row>
    <row r="100" spans="1:7" x14ac:dyDescent="0.2">
      <c r="A100" s="4"/>
      <c r="B100" s="5"/>
      <c r="C100" s="40"/>
      <c r="D100" s="6"/>
      <c r="E100" s="67"/>
      <c r="F100" s="5"/>
      <c r="G100" s="4"/>
    </row>
    <row r="101" spans="1:7" x14ac:dyDescent="0.2">
      <c r="A101" s="4"/>
      <c r="B101" s="5"/>
      <c r="C101" s="40"/>
      <c r="D101" s="6"/>
      <c r="E101" s="67"/>
      <c r="F101" s="5"/>
      <c r="G101" s="4"/>
    </row>
  </sheetData>
  <sortState ref="A8:G15">
    <sortCondition ref="G8:G15"/>
  </sortState>
  <phoneticPr fontId="0" type="noConversion"/>
  <hyperlinks>
    <hyperlink ref="B8" r:id="rId1" display="http://services.biathlonresults.com/athletes.aspx?IbuId=BTUSA22404199801" xr:uid="{00000000-0004-0000-21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9"/>
  <sheetViews>
    <sheetView workbookViewId="0">
      <selection activeCell="D8" sqref="D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398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43134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295</v>
      </c>
      <c r="C5" s="35"/>
      <c r="D5" s="35"/>
      <c r="E5" s="35" t="s">
        <v>28</v>
      </c>
      <c r="F5" s="52">
        <f>AVERAGE(C8:C9)*(AVERAGE(D8:D9)/100)</f>
        <v>1.2236477507079124E-2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218</v>
      </c>
      <c r="C8" s="40">
        <f>TIME(0,32,30)</f>
        <v>2.2569444444444444E-2</v>
      </c>
      <c r="D8" s="6">
        <f>INDEX('Points Summary'!$F$4:$F$672,G8)</f>
        <v>51.602765234211425</v>
      </c>
      <c r="E8" s="67">
        <f>(AVERAGE($D$8:$D$9)/100*AVERAGE($C$8:$C$9))/C8</f>
        <v>0.54217008031365965</v>
      </c>
      <c r="F8" s="5"/>
      <c r="G8" s="4">
        <f>MATCH(B8,'Points Summary'!$B$4:$B$673,0)</f>
        <v>50</v>
      </c>
    </row>
    <row r="9" spans="1:7" x14ac:dyDescent="0.2">
      <c r="A9" s="4">
        <v>1</v>
      </c>
      <c r="B9" s="5" t="s">
        <v>396</v>
      </c>
      <c r="C9" s="40">
        <f>TIME(0,42,32)</f>
        <v>2.9537037037037039E-2</v>
      </c>
      <c r="D9" s="6">
        <f>INDEX('Points Summary'!$F$4:$F$672,G9)</f>
        <v>42.33163339854169</v>
      </c>
      <c r="E9" s="67">
        <f t="shared" ref="E9:E10" si="0">(AVERAGE($D$8:$D$9)/100*AVERAGE($C$8:$C$9))/C9</f>
        <v>0.41427572751239666</v>
      </c>
      <c r="F9" s="5"/>
      <c r="G9" s="4">
        <f>MATCH(B9,'Points Summary'!$B$4:$B$673,0)</f>
        <v>25</v>
      </c>
    </row>
    <row r="10" spans="1:7" x14ac:dyDescent="0.2">
      <c r="A10" s="4">
        <v>1</v>
      </c>
      <c r="B10" s="5" t="s">
        <v>399</v>
      </c>
      <c r="C10" s="40">
        <f>TIME(0,43,58)</f>
        <v>3.0532407407407411E-2</v>
      </c>
      <c r="D10" s="6">
        <f>INDEX('Points Summary'!$F$4:$F$672,G10)</f>
        <v>39.83526631637271</v>
      </c>
      <c r="E10" s="67">
        <f t="shared" si="0"/>
        <v>0.40077015034557856</v>
      </c>
      <c r="F10" s="5"/>
      <c r="G10" s="4">
        <f>MATCH(B10,'Points Summary'!$B$4:$B$673,0)</f>
        <v>15</v>
      </c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63"/>
      <c r="B12" s="5"/>
      <c r="C12" s="40"/>
      <c r="D12" s="6"/>
      <c r="E12" s="41"/>
      <c r="F12" s="5"/>
      <c r="G12" s="4"/>
    </row>
    <row r="13" spans="1:7" x14ac:dyDescent="0.2">
      <c r="A13" s="63"/>
      <c r="B13" s="5"/>
      <c r="C13" s="40" t="s">
        <v>15</v>
      </c>
      <c r="D13" s="6"/>
      <c r="E13" s="41"/>
      <c r="F13" s="5"/>
      <c r="G13" s="4"/>
    </row>
    <row r="14" spans="1:7" x14ac:dyDescent="0.2">
      <c r="A14" s="63"/>
      <c r="B14" s="5"/>
      <c r="D14" s="114" t="s">
        <v>15</v>
      </c>
    </row>
    <row r="15" spans="1:7" x14ac:dyDescent="0.2">
      <c r="B15" s="5"/>
    </row>
    <row r="16" spans="1:7" x14ac:dyDescent="0.2">
      <c r="B16" s="5"/>
    </row>
    <row r="17" spans="2:2" x14ac:dyDescent="0.2">
      <c r="B17" s="5"/>
    </row>
    <row r="18" spans="2:2" x14ac:dyDescent="0.2">
      <c r="B18" s="5"/>
    </row>
    <row r="19" spans="2:2" x14ac:dyDescent="0.2">
      <c r="B19" s="5"/>
    </row>
  </sheetData>
  <sortState ref="A8:G10">
    <sortCondition descending="1" ref="D8:D10"/>
  </sortState>
  <phoneticPr fontId="0" type="noConversion"/>
  <hyperlinks>
    <hyperlink ref="B10" r:id="rId1" display="http://services.biathlonresults.com/athletes.aspx?IbuId=BTUSA22401199001" xr:uid="{00000000-0004-0000-22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20"/>
  <sheetViews>
    <sheetView workbookViewId="0">
      <selection activeCell="E10" sqref="E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424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43132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AVERAGE(C8:C9)*(AVERAGE(D8:D9)/100)</f>
        <v>1.2243162219737319E-2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259</v>
      </c>
      <c r="C8" s="60">
        <f>TIME(0,20,23)</f>
        <v>1.4155092592592592E-2</v>
      </c>
      <c r="D8" s="6">
        <f>INDEX('Points Summary'!$F$4:$F$672,G8)</f>
        <v>85.59089880914452</v>
      </c>
      <c r="E8" s="41">
        <f>(AVERAGE($D$8:$D$9)/100*AVERAGE($C$8:$C$9))/C8</f>
        <v>0.86492985755135265</v>
      </c>
      <c r="F8" s="5"/>
      <c r="G8" s="4">
        <f>MATCH(B8,'Points Summary'!$B$4:$B$673,0)</f>
        <v>57</v>
      </c>
    </row>
    <row r="9" spans="1:7" x14ac:dyDescent="0.2">
      <c r="A9" s="4">
        <v>1</v>
      </c>
      <c r="B9" s="5" t="s">
        <v>232</v>
      </c>
      <c r="C9" s="60">
        <f>TIME(0,30,23)</f>
        <v>2.1099537037037038E-2</v>
      </c>
      <c r="D9" s="6">
        <f>INDEX('Points Summary'!$F$4:$F$672,G9)</f>
        <v>53.320357367520515</v>
      </c>
      <c r="E9" s="41">
        <f>(AVERAGE($D$8:$D$9)/100*AVERAGE($C$8:$C$9))/C9</f>
        <v>0.58025738660740778</v>
      </c>
      <c r="F9" s="5" t="s">
        <v>15</v>
      </c>
      <c r="G9" s="4">
        <f>MATCH(B9,'Points Summary'!$B$4:$B$673,0)</f>
        <v>133</v>
      </c>
    </row>
    <row r="10" spans="1:7" x14ac:dyDescent="0.2">
      <c r="A10" s="4"/>
      <c r="B10" s="5"/>
      <c r="C10" s="60"/>
      <c r="D10" s="6"/>
      <c r="E10" s="41"/>
      <c r="F10" s="5"/>
      <c r="G10" s="4"/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C12" s="40"/>
      <c r="D12" s="6"/>
      <c r="E12" s="41"/>
      <c r="F12" s="5"/>
      <c r="G12" s="4"/>
    </row>
    <row r="13" spans="1:7" x14ac:dyDescent="0.2">
      <c r="A13" s="4"/>
      <c r="C13" s="40"/>
      <c r="D13" s="6"/>
      <c r="E13" s="41"/>
      <c r="G13" s="4"/>
    </row>
    <row r="14" spans="1:7" x14ac:dyDescent="0.2">
      <c r="A14" s="4"/>
      <c r="C14" s="60"/>
      <c r="D14" s="60"/>
      <c r="E14" s="40"/>
      <c r="G14" s="4"/>
    </row>
    <row r="15" spans="1:7" x14ac:dyDescent="0.2">
      <c r="A15" s="4"/>
      <c r="C15" s="60"/>
      <c r="D15" s="60"/>
      <c r="E15" s="40"/>
      <c r="G15" s="4"/>
    </row>
    <row r="16" spans="1:7" x14ac:dyDescent="0.2">
      <c r="A16" s="4"/>
      <c r="C16" s="40"/>
      <c r="D16" s="40"/>
      <c r="E16" s="40"/>
      <c r="G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</sheetData>
  <sortState ref="A8:G10">
    <sortCondition descending="1" ref="D8:D10"/>
  </sortState>
  <phoneticPr fontId="0" type="noConversion"/>
  <hyperlinks>
    <hyperlink ref="B9" r:id="rId1" display="http://services.biathlonresults.com/athletes.aspx?IbuId=BTUSA22404199801" xr:uid="{00000000-0004-0000-23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24"/>
  <sheetViews>
    <sheetView workbookViewId="0">
      <selection activeCell="B8" sqref="B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8" x14ac:dyDescent="0.2">
      <c r="A1" s="29" t="s">
        <v>10</v>
      </c>
      <c r="B1" s="30" t="s">
        <v>426</v>
      </c>
      <c r="C1" s="31"/>
      <c r="D1" s="31"/>
      <c r="E1" s="31"/>
      <c r="F1" s="31"/>
      <c r="G1" s="32"/>
    </row>
    <row r="2" spans="1:8" x14ac:dyDescent="0.2">
      <c r="A2" s="33" t="s">
        <v>11</v>
      </c>
      <c r="B2" s="34">
        <v>43141</v>
      </c>
      <c r="C2" s="35"/>
      <c r="D2" s="35"/>
      <c r="E2" s="35"/>
      <c r="F2" s="35"/>
      <c r="G2" s="36"/>
    </row>
    <row r="3" spans="1:8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8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8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1.5259945832360152E-2</v>
      </c>
      <c r="G5" s="36"/>
    </row>
    <row r="6" spans="1:8" x14ac:dyDescent="0.2">
      <c r="A6" s="38" t="s">
        <v>15</v>
      </c>
      <c r="B6" s="28"/>
      <c r="C6" s="28"/>
      <c r="D6" s="28"/>
      <c r="E6" s="28"/>
      <c r="F6" s="28"/>
      <c r="G6" s="39"/>
    </row>
    <row r="7" spans="1:8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8" x14ac:dyDescent="0.2">
      <c r="A8" s="4">
        <v>1</v>
      </c>
      <c r="B8" s="5" t="s">
        <v>345</v>
      </c>
      <c r="C8" s="40">
        <v>1.6335648148148148E-2</v>
      </c>
      <c r="D8" s="6">
        <f>INDEX('Points Summary'!$F$4:$F$672,G8)</f>
        <v>87.124655385669783</v>
      </c>
      <c r="E8" s="67">
        <f>(AVERAGE($D$8:$D$10)/100*AVERAGE($C$8:$C$10))/C8</f>
        <v>0.93415000702558959</v>
      </c>
      <c r="F8" s="5"/>
      <c r="G8" s="4">
        <f>MATCH(B8,'Points Summary'!$B$4:$B$673,0)</f>
        <v>71</v>
      </c>
      <c r="H8" s="289"/>
    </row>
    <row r="9" spans="1:8" x14ac:dyDescent="0.2">
      <c r="A9" s="4">
        <v>2</v>
      </c>
      <c r="B9" s="5" t="s">
        <v>259</v>
      </c>
      <c r="C9" s="40">
        <v>1.7396990740740741E-2</v>
      </c>
      <c r="D9" s="6">
        <f>INDEX('Points Summary'!$F$4:$F$672,G9)</f>
        <v>85.59089880914452</v>
      </c>
      <c r="E9" s="67">
        <f t="shared" ref="E9:E10" si="0">(AVERAGE($D$8:$D$10)/100*AVERAGE($C$8:$C$10))/C9</f>
        <v>0.87716008244023491</v>
      </c>
      <c r="F9" s="5"/>
      <c r="G9" s="4">
        <f>MATCH(B9,'Points Summary'!$B$4:$B$673,0)</f>
        <v>57</v>
      </c>
      <c r="H9" s="289"/>
    </row>
    <row r="10" spans="1:8" x14ac:dyDescent="0.2">
      <c r="A10" s="4">
        <v>3</v>
      </c>
      <c r="B10" s="5" t="s">
        <v>62</v>
      </c>
      <c r="C10" s="40">
        <v>2.3123842592592592E-2</v>
      </c>
      <c r="D10" s="6">
        <f>INDEX('Points Summary'!$F$4:$F$672,G10)</f>
        <v>68.83916201810105</v>
      </c>
      <c r="E10" s="67">
        <f t="shared" si="0"/>
        <v>0.65992257866555737</v>
      </c>
      <c r="F10" s="5"/>
      <c r="G10" s="4">
        <f>MATCH(B10,'Points Summary'!$B$4:$B$673,0)</f>
        <v>70</v>
      </c>
      <c r="H10" s="289"/>
    </row>
    <row r="11" spans="1:8" x14ac:dyDescent="0.2">
      <c r="A11" s="4"/>
      <c r="B11" s="5"/>
      <c r="C11" s="40"/>
      <c r="D11" s="6"/>
      <c r="E11" s="67"/>
      <c r="F11" s="5"/>
      <c r="G11" s="4"/>
      <c r="H11" s="289"/>
    </row>
    <row r="12" spans="1:8" x14ac:dyDescent="0.2">
      <c r="A12" s="4"/>
      <c r="B12" s="5"/>
      <c r="C12" s="40"/>
      <c r="D12" s="6"/>
      <c r="E12" s="67"/>
      <c r="F12" s="5"/>
      <c r="G12" s="4"/>
      <c r="H12" s="289"/>
    </row>
    <row r="13" spans="1:8" x14ac:dyDescent="0.2">
      <c r="A13" s="4"/>
      <c r="B13" s="5"/>
      <c r="C13" s="40"/>
      <c r="D13" s="40"/>
      <c r="E13" s="60"/>
      <c r="F13" s="5"/>
      <c r="G13" s="4"/>
    </row>
    <row r="14" spans="1:8" x14ac:dyDescent="0.2">
      <c r="A14" s="4"/>
      <c r="B14" s="5"/>
      <c r="C14" s="40"/>
      <c r="D14" s="40"/>
      <c r="E14" s="60"/>
      <c r="F14" s="5"/>
      <c r="G14" s="4"/>
    </row>
    <row r="15" spans="1:8" x14ac:dyDescent="0.2">
      <c r="A15" s="4"/>
      <c r="B15" s="5"/>
      <c r="C15" s="40"/>
      <c r="D15" s="6"/>
      <c r="E15" s="67"/>
      <c r="F15" s="5"/>
      <c r="G15" s="4"/>
    </row>
    <row r="16" spans="1:8" x14ac:dyDescent="0.2">
      <c r="A16" s="4"/>
      <c r="B16" s="5"/>
      <c r="C16" s="40"/>
      <c r="D16" s="6"/>
      <c r="E16" s="67"/>
      <c r="F16" s="5"/>
      <c r="G16" s="4"/>
    </row>
    <row r="17" spans="1:7" x14ac:dyDescent="0.2">
      <c r="A17" s="4"/>
      <c r="B17" s="5"/>
      <c r="C17" s="40"/>
      <c r="D17" s="6"/>
      <c r="E17" s="67"/>
      <c r="F17" s="5"/>
      <c r="G17" s="4"/>
    </row>
    <row r="18" spans="1:7" x14ac:dyDescent="0.2">
      <c r="A18" s="4"/>
      <c r="B18" s="5"/>
      <c r="C18" s="40"/>
      <c r="D18" s="6"/>
      <c r="E18" s="67"/>
      <c r="F18" s="5"/>
      <c r="G18" s="4"/>
    </row>
    <row r="19" spans="1:7" x14ac:dyDescent="0.2">
      <c r="A19" s="4"/>
      <c r="B19" s="5"/>
      <c r="C19" s="40"/>
      <c r="D19" s="6"/>
      <c r="E19" s="67"/>
      <c r="F19" s="5"/>
      <c r="G19" s="4"/>
    </row>
    <row r="20" spans="1:7" x14ac:dyDescent="0.2">
      <c r="A20" s="4"/>
      <c r="B20" s="5"/>
      <c r="C20" s="40"/>
    </row>
    <row r="21" spans="1:7" x14ac:dyDescent="0.2">
      <c r="A21" s="4"/>
      <c r="B21" s="5"/>
      <c r="C21" s="40"/>
    </row>
    <row r="22" spans="1:7" x14ac:dyDescent="0.2">
      <c r="A22" s="4"/>
      <c r="B22" s="5"/>
      <c r="C22" s="40"/>
    </row>
    <row r="23" spans="1:7" x14ac:dyDescent="0.2">
      <c r="C23" s="40"/>
    </row>
    <row r="24" spans="1:7" x14ac:dyDescent="0.2">
      <c r="C24" s="40"/>
      <c r="D24" s="114" t="s">
        <v>15</v>
      </c>
    </row>
  </sheetData>
  <sortState ref="A8:D19">
    <sortCondition descending="1" ref="D8:D19"/>
  </sortState>
  <phoneticPr fontId="0" type="noConversion"/>
  <hyperlinks>
    <hyperlink ref="B8" r:id="rId1" display="http://services.biathlonresults.com/athletes.aspx?IbuId=BTUSA22401199001" xr:uid="{00000000-0004-0000-24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2"/>
  <sheetViews>
    <sheetView workbookViewId="0">
      <selection activeCell="F13" sqref="F13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425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43141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296</v>
      </c>
      <c r="C5" s="35"/>
      <c r="D5" s="35"/>
      <c r="E5" s="35" t="s">
        <v>28</v>
      </c>
      <c r="F5" s="52">
        <f>AVERAGE(C8:C10)*(AVERAGE(D8:D10)/100)</f>
        <v>1.6063248545265609E-2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66</v>
      </c>
      <c r="B8" s="5" t="s">
        <v>58</v>
      </c>
      <c r="C8" s="60">
        <v>1.6818287037037038E-2</v>
      </c>
      <c r="D8" s="6">
        <f>INDEX('Points Summary'!$F$4:$F$672,G8)</f>
        <v>99.28871437032133</v>
      </c>
      <c r="E8" s="41">
        <f>(AVERAGE($D$8:$D$10)/100*AVERAGE($C$8:$C$10))/C8</f>
        <v>0.95510610027592635</v>
      </c>
      <c r="F8" s="5"/>
      <c r="G8" s="4">
        <f>MATCH(B8,'Points Summary'!$B$4:$B$673,0)</f>
        <v>41</v>
      </c>
    </row>
    <row r="9" spans="1:7" x14ac:dyDescent="0.2">
      <c r="A9" s="4">
        <v>61</v>
      </c>
      <c r="B9" s="5" t="s">
        <v>221</v>
      </c>
      <c r="C9" s="60">
        <v>1.6569444444444446E-2</v>
      </c>
      <c r="D9" s="6">
        <f>INDEX('Points Summary'!$F$4:$F$672,G9)</f>
        <v>97.172319392285544</v>
      </c>
      <c r="E9" s="41">
        <f>(AVERAGE($D$8:$D$10)/100*AVERAGE($C$8:$C$10))/C9</f>
        <v>0.96945003793723705</v>
      </c>
      <c r="F9" s="5"/>
      <c r="G9" s="4">
        <f>MATCH(B9,'Points Summary'!$B$4:$B$673,0)</f>
        <v>42</v>
      </c>
    </row>
    <row r="10" spans="1:7" x14ac:dyDescent="0.2">
      <c r="A10" s="4">
        <v>51</v>
      </c>
      <c r="B10" s="5" t="s">
        <v>247</v>
      </c>
      <c r="C10" s="60">
        <v>1.6287037037037037E-2</v>
      </c>
      <c r="D10" s="6">
        <f>INDEX('Points Summary'!$F$4:$F$672,G10)</f>
        <v>94.570492340017523</v>
      </c>
      <c r="E10" s="41">
        <f>(AVERAGE($D$8:$D$10)/100*AVERAGE($C$8:$C$10))/C10</f>
        <v>0.98625971738981566</v>
      </c>
      <c r="F10" s="5"/>
      <c r="G10" s="4">
        <f>MATCH(B10,'Points Summary'!$B$4:$B$673,0)</f>
        <v>40</v>
      </c>
    </row>
    <row r="11" spans="1:7" x14ac:dyDescent="0.2">
      <c r="A11" s="4">
        <v>86</v>
      </c>
      <c r="B11" s="5" t="s">
        <v>249</v>
      </c>
      <c r="C11" s="60">
        <v>1.8273148148148146E-2</v>
      </c>
      <c r="D11" s="6">
        <f>INDEX('Points Summary'!$F$4:$F$672,G11)</f>
        <v>94.212884468561555</v>
      </c>
      <c r="E11" s="41">
        <f>(AVERAGE($D$8:$D$10)/100*AVERAGE($C$8:$C$10))/C11</f>
        <v>0.8790630062775201</v>
      </c>
      <c r="F11" s="5"/>
      <c r="G11" s="4">
        <f>MATCH(B11,'Points Summary'!$B$4:$B$673,0)</f>
        <v>106</v>
      </c>
    </row>
    <row r="12" spans="1:7" x14ac:dyDescent="0.2">
      <c r="A12" s="4"/>
      <c r="B12" s="5"/>
      <c r="C12" s="60"/>
      <c r="D12" s="6"/>
      <c r="E12" s="41"/>
      <c r="F12" s="5"/>
      <c r="G12" s="4"/>
    </row>
    <row r="13" spans="1:7" x14ac:dyDescent="0.2">
      <c r="A13" s="4"/>
      <c r="B13" s="5"/>
      <c r="C13" s="60"/>
      <c r="D13" s="6"/>
      <c r="E13" s="41"/>
      <c r="F13" s="5"/>
      <c r="G13" s="4"/>
    </row>
    <row r="14" spans="1:7" x14ac:dyDescent="0.2">
      <c r="A14" s="4"/>
      <c r="B14" s="5"/>
      <c r="C14" s="60"/>
      <c r="D14" s="6"/>
      <c r="E14" s="41"/>
      <c r="F14" s="5"/>
      <c r="G14" s="4"/>
    </row>
    <row r="15" spans="1:7" x14ac:dyDescent="0.2">
      <c r="A15" s="4"/>
      <c r="B15" s="5"/>
      <c r="C15" s="6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B19" s="5"/>
      <c r="C19" s="40"/>
      <c r="D19" s="6"/>
      <c r="E19" s="41"/>
      <c r="F19" s="5"/>
      <c r="G19" s="4"/>
    </row>
    <row r="20" spans="1:7" x14ac:dyDescent="0.2">
      <c r="B20" s="5"/>
    </row>
    <row r="21" spans="1:7" x14ac:dyDescent="0.2">
      <c r="B21" s="5"/>
    </row>
    <row r="22" spans="1:7" x14ac:dyDescent="0.2">
      <c r="B22" s="5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 xml:space="preserve">&amp;L&amp;"Tahoma,Bold"&amp;11U.S. Biathlon Association&amp;R&amp;"Tahoma,Bold"&amp;11 2018 Race Points  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6"/>
  <sheetViews>
    <sheetView workbookViewId="0">
      <selection activeCell="E10" sqref="E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426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43142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2.2731181017078297E-2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4">
        <v>1</v>
      </c>
      <c r="B8" s="5" t="s">
        <v>345</v>
      </c>
      <c r="C8" s="40">
        <v>2.4613425925925927E-2</v>
      </c>
      <c r="D8" s="6">
        <f>INDEX('Points Summary'!$F$4:$F$672,G8)</f>
        <v>87.124655385669783</v>
      </c>
      <c r="E8" s="41">
        <f>(AVERAGE($D$8:$D$10)/100*AVERAGE($C$8:$C$10))/C8</f>
        <v>0.92352771554385626</v>
      </c>
      <c r="F8" s="5"/>
      <c r="G8" s="4">
        <f>MATCH(B8,'Points Summary'!$B$4:$B$673,0)</f>
        <v>71</v>
      </c>
      <c r="I8" s="153"/>
      <c r="J8" s="153"/>
      <c r="K8" s="153"/>
    </row>
    <row r="9" spans="1:11" x14ac:dyDescent="0.2">
      <c r="A9" s="4">
        <v>2</v>
      </c>
      <c r="B9" s="5" t="s">
        <v>259</v>
      </c>
      <c r="C9" s="40">
        <v>2.584490740740741E-2</v>
      </c>
      <c r="D9" s="6">
        <f>INDEX('Points Summary'!$F$4:$F$672,G9)</f>
        <v>85.59089880914452</v>
      </c>
      <c r="E9" s="41">
        <f t="shared" ref="E9:E10" si="0">(AVERAGE($D$8:$D$10)/100*AVERAGE($C$8:$C$10))/C9</f>
        <v>0.87952263317311452</v>
      </c>
      <c r="F9" s="5"/>
      <c r="G9" s="4">
        <f>MATCH(B9,'Points Summary'!$B$4:$B$673,0)</f>
        <v>57</v>
      </c>
      <c r="I9" s="153"/>
      <c r="J9" s="153"/>
      <c r="K9" s="153"/>
    </row>
    <row r="10" spans="1:11" x14ac:dyDescent="0.2">
      <c r="A10" s="4">
        <v>3</v>
      </c>
      <c r="B10" s="5" t="s">
        <v>62</v>
      </c>
      <c r="C10" s="40">
        <v>3.4234953703703705E-2</v>
      </c>
      <c r="D10" s="6">
        <f>INDEX('Points Summary'!$F$4:$F$672,G10)</f>
        <v>68.83916201810105</v>
      </c>
      <c r="E10" s="41">
        <f t="shared" si="0"/>
        <v>0.66397580711841675</v>
      </c>
      <c r="F10" s="5"/>
      <c r="G10" s="4">
        <f>MATCH(B10,'Points Summary'!$B$4:$B$673,0)</f>
        <v>70</v>
      </c>
      <c r="J10" s="153"/>
    </row>
    <row r="11" spans="1:11" x14ac:dyDescent="0.2">
      <c r="A11" s="116"/>
      <c r="B11" s="5"/>
      <c r="C11" s="40"/>
      <c r="D11" s="6"/>
      <c r="E11" s="41"/>
      <c r="F11" s="5"/>
      <c r="G11" s="4"/>
    </row>
    <row r="12" spans="1:11" x14ac:dyDescent="0.2">
      <c r="A12" s="63"/>
      <c r="B12" s="5"/>
      <c r="C12" s="40"/>
      <c r="D12" s="6"/>
      <c r="E12" s="41"/>
      <c r="F12" s="5"/>
      <c r="G12" s="4"/>
    </row>
    <row r="13" spans="1:11" x14ac:dyDescent="0.2">
      <c r="A13" s="63"/>
      <c r="B13" s="5"/>
      <c r="C13" s="40"/>
    </row>
    <row r="14" spans="1:11" x14ac:dyDescent="0.2">
      <c r="A14" s="63"/>
      <c r="B14" s="5"/>
      <c r="C14" s="40"/>
      <c r="D14" s="40"/>
      <c r="E14" s="50"/>
      <c r="H14" s="114"/>
    </row>
    <row r="15" spans="1:11" x14ac:dyDescent="0.2">
      <c r="A15" s="63"/>
      <c r="C15" s="40"/>
      <c r="D15" s="40"/>
      <c r="E15" s="50"/>
      <c r="H15" s="114"/>
    </row>
    <row r="16" spans="1:11" x14ac:dyDescent="0.2">
      <c r="C16" s="40"/>
      <c r="D16" s="40"/>
      <c r="E16" s="50"/>
      <c r="H16" s="114"/>
    </row>
  </sheetData>
  <sortState ref="A8:D10">
    <sortCondition descending="1" ref="D8:D10"/>
  </sortState>
  <phoneticPr fontId="0" type="noConversion"/>
  <hyperlinks>
    <hyperlink ref="B8" r:id="rId1" display="http://services.biathlonresults.com/athletes.aspx?IbuId=BTUSA22401199001" xr:uid="{00000000-0004-0000-26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6"/>
  <sheetViews>
    <sheetView workbookViewId="0">
      <selection activeCell="A10" sqref="A10"/>
    </sheetView>
  </sheetViews>
  <sheetFormatPr defaultRowHeight="12.75" x14ac:dyDescent="0.2"/>
  <cols>
    <col min="2" max="2" width="20.7109375" customWidth="1"/>
    <col min="3" max="7" width="9.7109375" customWidth="1"/>
  </cols>
  <sheetData>
    <row r="1" spans="1:7" x14ac:dyDescent="0.2">
      <c r="A1" s="29" t="s">
        <v>10</v>
      </c>
      <c r="B1" s="30" t="s">
        <v>266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43068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214</v>
      </c>
      <c r="C5" s="35"/>
      <c r="D5" s="35"/>
      <c r="E5" s="35" t="s">
        <v>28</v>
      </c>
      <c r="F5" s="51">
        <f>AVERAGE(C8:C10)*(AVERAGE(D8:D10)/100)</f>
        <v>3.2313591452143055E-2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53</v>
      </c>
      <c r="B8" s="5" t="s">
        <v>333</v>
      </c>
      <c r="C8" s="40">
        <v>3.2755787037037042E-2</v>
      </c>
      <c r="D8" s="6">
        <f>INDEX('Points Summary'!$H$4:$H$672,G8)</f>
        <v>100.00151622905494</v>
      </c>
      <c r="E8" s="67">
        <f>(AVERAGE($D$8:$D$10)/100*AVERAGE($C$8:$C$10))/C8</f>
        <v>0.98650023019156907</v>
      </c>
      <c r="F8" s="5"/>
      <c r="G8" s="4">
        <f>MATCH(B8,'Points Summary'!$B$4:$B$673,0)</f>
        <v>41</v>
      </c>
    </row>
    <row r="9" spans="1:7" x14ac:dyDescent="0.2">
      <c r="A9" s="4">
        <v>79</v>
      </c>
      <c r="B9" s="5" t="s">
        <v>334</v>
      </c>
      <c r="C9" s="40">
        <v>3.4605324074074073E-2</v>
      </c>
      <c r="D9" s="6">
        <f>INDEX('Points Summary'!$H$4:$H$672,G9)</f>
        <v>95.598613577506455</v>
      </c>
      <c r="E9" s="67">
        <f>(AVERAGE($D$8:$D$9)/100*AVERAGE($C$8:$C$9))/C9</f>
        <v>0.951865242545058</v>
      </c>
      <c r="F9" s="5"/>
      <c r="G9" s="4">
        <f>MATCH(B9,'Points Summary'!$B$4:$B$673,0)</f>
        <v>42</v>
      </c>
    </row>
    <row r="10" spans="1:7" x14ac:dyDescent="0.2">
      <c r="A10" s="4">
        <v>81</v>
      </c>
      <c r="B10" s="5" t="s">
        <v>248</v>
      </c>
      <c r="C10" s="40">
        <v>3.4732638888888889E-2</v>
      </c>
      <c r="D10" s="6">
        <f>INDEX('Points Summary'!$H$4:$H$672,G10)</f>
        <v>89.257976658611497</v>
      </c>
      <c r="E10" s="67">
        <f>(AVERAGE($D$8:$D$9)/100*AVERAGE($C$8:$C$9))/C10</f>
        <v>0.94837611672680489</v>
      </c>
      <c r="F10" s="5"/>
      <c r="G10" s="4">
        <f>MATCH(B10,'Points Summary'!$B$4:$B$673,0)</f>
        <v>40</v>
      </c>
    </row>
    <row r="11" spans="1:7" x14ac:dyDescent="0.2">
      <c r="A11" s="4"/>
      <c r="B11" s="81"/>
      <c r="C11" s="40"/>
      <c r="D11" s="6"/>
      <c r="E11" s="67"/>
      <c r="F11" s="5"/>
      <c r="G11" s="4"/>
    </row>
    <row r="12" spans="1:7" x14ac:dyDescent="0.2">
      <c r="A12" s="4"/>
      <c r="B12" s="5"/>
      <c r="C12" s="40"/>
      <c r="D12" s="6"/>
      <c r="E12" s="67"/>
      <c r="F12" s="5"/>
      <c r="G12" s="4"/>
    </row>
    <row r="13" spans="1:7" x14ac:dyDescent="0.2">
      <c r="A13" s="4"/>
      <c r="B13" s="5"/>
      <c r="C13" s="40"/>
      <c r="D13" s="6"/>
      <c r="E13" s="67"/>
      <c r="F13" s="5"/>
      <c r="G13" s="4"/>
    </row>
    <row r="14" spans="1:7" x14ac:dyDescent="0.2">
      <c r="A14" s="63"/>
      <c r="B14" s="81"/>
      <c r="C14" s="40"/>
      <c r="D14" s="6"/>
      <c r="E14" s="67"/>
      <c r="F14" s="5"/>
      <c r="G14" s="4"/>
    </row>
    <row r="15" spans="1:7" x14ac:dyDescent="0.2">
      <c r="A15" s="63"/>
      <c r="B15" s="5"/>
      <c r="C15" s="40"/>
      <c r="D15" s="6"/>
      <c r="E15" s="67"/>
      <c r="F15" s="5"/>
      <c r="G15" s="4"/>
    </row>
    <row r="16" spans="1:7" x14ac:dyDescent="0.2">
      <c r="A16" s="63"/>
      <c r="B16" s="81"/>
      <c r="C16" s="40"/>
      <c r="D16" s="6"/>
      <c r="E16" s="67"/>
      <c r="F16" s="5"/>
      <c r="G16" s="4"/>
    </row>
    <row r="17" spans="1:3" x14ac:dyDescent="0.2">
      <c r="A17" s="63"/>
      <c r="C17" s="40"/>
    </row>
    <row r="18" spans="1:3" x14ac:dyDescent="0.2">
      <c r="A18" s="63"/>
      <c r="C18" s="40"/>
    </row>
    <row r="76" spans="3:7" x14ac:dyDescent="0.2">
      <c r="C76" t="s">
        <v>5</v>
      </c>
      <c r="D76" t="s">
        <v>32</v>
      </c>
      <c r="G76">
        <v>0</v>
      </c>
    </row>
  </sheetData>
  <sortState ref="A9:D10">
    <sortCondition descending="1" ref="D9:D1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6"/>
  <sheetViews>
    <sheetView workbookViewId="0">
      <selection activeCell="E10" sqref="E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425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43147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427</v>
      </c>
      <c r="C5" s="35"/>
      <c r="D5" s="35"/>
      <c r="E5" s="35" t="s">
        <v>28</v>
      </c>
      <c r="F5" s="52">
        <f>AVERAGE(C8:C10)*(AVERAGE(D8:D10)/100)</f>
        <v>3.0555151846985224E-2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K7" s="114" t="s">
        <v>15</v>
      </c>
    </row>
    <row r="8" spans="1:11" x14ac:dyDescent="0.2">
      <c r="A8" s="4">
        <v>19</v>
      </c>
      <c r="B8" s="5" t="s">
        <v>58</v>
      </c>
      <c r="C8" s="40">
        <f>TIME(0,43,33.5)</f>
        <v>3.0243055555555554E-2</v>
      </c>
      <c r="D8" s="6">
        <f>INDEX('Points Summary'!$F$4:$F$672,G8)</f>
        <v>99.28871437032133</v>
      </c>
      <c r="E8" s="67">
        <f>(AVERAGE($D$8:$D$10)/100*AVERAGE($C$8:$C$10))/C8</f>
        <v>1.0103196018291325</v>
      </c>
      <c r="F8" s="5"/>
      <c r="G8" s="4">
        <f>MATCH(B8,'Points Summary'!$B$4:$B$673,0)</f>
        <v>41</v>
      </c>
      <c r="I8" s="153"/>
      <c r="J8" s="153"/>
      <c r="K8" s="147"/>
    </row>
    <row r="9" spans="1:11" x14ac:dyDescent="0.2">
      <c r="A9" s="4">
        <v>22</v>
      </c>
      <c r="B9" s="5" t="s">
        <v>249</v>
      </c>
      <c r="C9" s="40">
        <f>TIME(0,44,41.3)</f>
        <v>3.1030092592592592E-2</v>
      </c>
      <c r="D9" s="6">
        <f>INDEX('Points Summary'!$F$4:$F$672,G9)</f>
        <v>94.212884468561555</v>
      </c>
      <c r="E9" s="67">
        <f t="shared" ref="E9:E11" si="0">(AVERAGE($D$8:$D$10)/100*AVERAGE($C$8:$C$10))/C9</f>
        <v>0.98469418857871072</v>
      </c>
      <c r="F9" s="5"/>
      <c r="G9" s="4">
        <f>MATCH(B9,'Points Summary'!$B$4:$B$673,0)</f>
        <v>106</v>
      </c>
      <c r="I9" s="153"/>
      <c r="J9" s="153"/>
      <c r="K9" s="147"/>
    </row>
    <row r="10" spans="1:11" x14ac:dyDescent="0.2">
      <c r="A10" s="4">
        <v>62</v>
      </c>
      <c r="B10" s="5" t="s">
        <v>221</v>
      </c>
      <c r="C10" s="40">
        <f>TIME(0,48,0.8)</f>
        <v>3.3333333333333333E-2</v>
      </c>
      <c r="D10" s="6">
        <f>INDEX('Points Summary'!$F$4:$F$672,G10)</f>
        <v>97.172319392285544</v>
      </c>
      <c r="E10" s="67">
        <f t="shared" si="0"/>
        <v>0.91665455540955676</v>
      </c>
      <c r="F10" s="5"/>
      <c r="G10" s="4">
        <f>MATCH(B10,'Points Summary'!$B$4:$B$673,0)</f>
        <v>42</v>
      </c>
    </row>
    <row r="11" spans="1:11" x14ac:dyDescent="0.2">
      <c r="A11" s="4">
        <v>67</v>
      </c>
      <c r="B11" s="5" t="s">
        <v>247</v>
      </c>
      <c r="C11" s="40">
        <f>TIME(0,48,16.4)</f>
        <v>3.3518518518518517E-2</v>
      </c>
      <c r="D11" s="6">
        <f>INDEX('Points Summary'!$F$4:$F$672,G11)</f>
        <v>94.570492340017523</v>
      </c>
      <c r="E11" s="67">
        <f t="shared" si="0"/>
        <v>0.91159016560066419</v>
      </c>
      <c r="F11" s="5"/>
      <c r="G11" s="4">
        <f>MATCH(B11,'Points Summary'!$B$4:$B$673,0)</f>
        <v>40</v>
      </c>
    </row>
    <row r="12" spans="1:11" x14ac:dyDescent="0.2">
      <c r="A12" s="4"/>
      <c r="B12" s="5"/>
      <c r="C12" s="40"/>
      <c r="D12" s="6"/>
      <c r="E12" s="67"/>
      <c r="F12" s="5"/>
      <c r="G12" s="4"/>
    </row>
    <row r="13" spans="1:11" x14ac:dyDescent="0.2">
      <c r="A13" s="4"/>
      <c r="B13" s="5"/>
      <c r="C13" s="40"/>
      <c r="D13" s="6"/>
      <c r="E13" s="67"/>
      <c r="F13" s="5"/>
      <c r="G13" s="4"/>
    </row>
    <row r="14" spans="1:11" x14ac:dyDescent="0.2">
      <c r="A14" s="4"/>
      <c r="C14" s="40"/>
      <c r="D14" s="6"/>
      <c r="E14" s="41"/>
      <c r="F14" s="5"/>
      <c r="G14" s="4"/>
    </row>
    <row r="15" spans="1:11" x14ac:dyDescent="0.2">
      <c r="A15" s="4"/>
      <c r="C15" s="40"/>
      <c r="D15" s="6"/>
      <c r="E15" s="41"/>
      <c r="F15" s="5"/>
      <c r="G15" s="4"/>
    </row>
    <row r="16" spans="1:11" x14ac:dyDescent="0.2">
      <c r="A16" s="4"/>
      <c r="C16" s="40"/>
      <c r="D16" s="6"/>
      <c r="E16" s="41"/>
      <c r="F16" s="5"/>
      <c r="G16" s="4"/>
    </row>
  </sheetData>
  <sortState ref="A8:D16">
    <sortCondition descending="1" ref="D8:D16"/>
  </sortState>
  <phoneticPr fontId="0" type="noConversion"/>
  <hyperlinks>
    <hyperlink ref="B9" r:id="rId1" display="http://services.biathlonresults.com/athletes.aspx?IbuId=BTUSA21204199401" xr:uid="{00000000-0004-0000-2700-000000000000}"/>
  </hyperlinks>
  <printOptions horizontalCentered="1"/>
  <pageMargins left="0.75" right="0.75" top="1" bottom="1" header="0.5" footer="0.5"/>
  <pageSetup orientation="portrait" horizontalDpi="300" verticalDpi="300" r:id="rId2"/>
  <headerFooter alignWithMargins="0">
    <oddHeader>&amp;L&amp;"Tahoma,Bold"&amp;11U.S. Biathlon Association&amp;R&amp;"Tahoma,Bold"&amp;11 2018 Race Points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15"/>
  <sheetViews>
    <sheetView workbookViewId="0">
      <selection activeCell="D9" sqref="D9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0" x14ac:dyDescent="0.2">
      <c r="A1" s="29" t="s">
        <v>10</v>
      </c>
      <c r="B1" s="30" t="s">
        <v>428</v>
      </c>
      <c r="C1" s="31"/>
      <c r="D1" s="31"/>
      <c r="E1" s="31"/>
      <c r="F1" s="31"/>
      <c r="G1" s="32"/>
    </row>
    <row r="2" spans="1:10" x14ac:dyDescent="0.2">
      <c r="A2" s="33" t="s">
        <v>11</v>
      </c>
      <c r="B2" s="34">
        <v>43148</v>
      </c>
      <c r="C2" s="35"/>
      <c r="D2" s="35"/>
      <c r="E2" s="35"/>
      <c r="F2" s="35"/>
      <c r="G2" s="36"/>
    </row>
    <row r="3" spans="1:10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0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0" x14ac:dyDescent="0.2">
      <c r="A5" s="33" t="s">
        <v>14</v>
      </c>
      <c r="B5" s="37" t="s">
        <v>295</v>
      </c>
      <c r="C5" s="35"/>
      <c r="D5" s="35"/>
      <c r="E5" s="35" t="s">
        <v>28</v>
      </c>
      <c r="F5" s="52">
        <f>AVERAGE(C8:C10)*(AVERAGE(D8:D10)/100)</f>
        <v>1.3626456110179548E-2</v>
      </c>
      <c r="G5" s="36"/>
    </row>
    <row r="6" spans="1:10" x14ac:dyDescent="0.2">
      <c r="A6" s="38" t="s">
        <v>15</v>
      </c>
      <c r="B6" s="28"/>
      <c r="C6" s="28"/>
      <c r="D6" s="28"/>
      <c r="E6" s="28"/>
      <c r="F6" s="28"/>
      <c r="G6" s="39"/>
    </row>
    <row r="7" spans="1:10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0" x14ac:dyDescent="0.2">
      <c r="A8" s="4">
        <v>1</v>
      </c>
      <c r="B8" s="210" t="s">
        <v>228</v>
      </c>
      <c r="C8" s="40">
        <f>TIME(0,21,54.8)</f>
        <v>1.5208333333333332E-2</v>
      </c>
      <c r="D8" s="6">
        <f>INDEX('Points Summary'!$F$4:$F$672,G8)</f>
        <v>92.503545392490921</v>
      </c>
      <c r="E8" s="41">
        <f>(AVERAGE($D$8:$D$10)/100*AVERAGE($C$8:$C$10))/C8</f>
        <v>0.89598615518988811</v>
      </c>
      <c r="F8" s="5"/>
      <c r="G8" s="4">
        <f>MATCH(B8,'Points Summary'!$B$4:$B$673,0)</f>
        <v>81</v>
      </c>
      <c r="J8" s="247"/>
    </row>
    <row r="9" spans="1:10" x14ac:dyDescent="0.2">
      <c r="A9" s="4">
        <v>1</v>
      </c>
      <c r="B9" s="210" t="s">
        <v>259</v>
      </c>
      <c r="C9" s="40">
        <f>TIME(0,21,25.3)</f>
        <v>1.4872685185185185E-2</v>
      </c>
      <c r="D9" s="6">
        <f>INDEX('Points Summary'!$F$4:$F$672,G9)</f>
        <v>85.59089880914452</v>
      </c>
      <c r="E9" s="41">
        <f t="shared" ref="E9" si="0">(AVERAGE($D$8:$D$10)/100*AVERAGE($C$8:$C$10))/C9</f>
        <v>0.91620685441207239</v>
      </c>
      <c r="F9" s="5"/>
      <c r="G9" s="4">
        <f>MATCH(B9,'Points Summary'!$B$4:$B$673,0)</f>
        <v>57</v>
      </c>
      <c r="J9" s="247"/>
    </row>
    <row r="10" spans="1:10" x14ac:dyDescent="0.2">
      <c r="A10" s="4">
        <v>1</v>
      </c>
      <c r="B10" s="210" t="s">
        <v>218</v>
      </c>
      <c r="C10" s="40">
        <f>TIME(0,33,34.9)</f>
        <v>2.3310185185185187E-2</v>
      </c>
      <c r="D10" s="6">
        <f>INDEX('Points Summary'!$F$4:$F$672,G10)</f>
        <v>51.602765234211425</v>
      </c>
      <c r="E10" s="41">
        <f t="shared" ref="E10" si="1">(AVERAGE($D$8:$D$10)/100*AVERAGE($C$8:$C$10))/C10</f>
        <v>0.58457090760651087</v>
      </c>
      <c r="F10" s="5"/>
      <c r="G10" s="4">
        <f>MATCH(B10,'Points Summary'!$B$4:$B$673,0)</f>
        <v>50</v>
      </c>
    </row>
    <row r="11" spans="1:10" x14ac:dyDescent="0.2">
      <c r="A11" s="4"/>
      <c r="B11" s="210"/>
      <c r="C11" s="40"/>
      <c r="D11" s="6"/>
      <c r="E11" s="41"/>
      <c r="F11" s="5"/>
      <c r="G11" s="4"/>
    </row>
    <row r="12" spans="1:10" x14ac:dyDescent="0.2">
      <c r="A12" s="4"/>
      <c r="B12" s="210"/>
      <c r="C12" s="40"/>
      <c r="D12" s="6"/>
      <c r="E12" s="41"/>
      <c r="F12" s="5"/>
      <c r="G12" s="4"/>
    </row>
    <row r="13" spans="1:10" x14ac:dyDescent="0.2">
      <c r="A13" s="4"/>
      <c r="B13" s="5"/>
      <c r="C13" s="40"/>
      <c r="D13" s="40"/>
      <c r="E13" s="40"/>
      <c r="F13" s="40"/>
      <c r="G13" s="4"/>
    </row>
    <row r="14" spans="1:10" x14ac:dyDescent="0.2">
      <c r="B14" s="5"/>
      <c r="C14" s="40"/>
      <c r="D14" s="40"/>
      <c r="E14" s="40"/>
      <c r="F14" s="40"/>
      <c r="G14" s="4"/>
    </row>
    <row r="15" spans="1:10" x14ac:dyDescent="0.2">
      <c r="B15" s="5"/>
      <c r="C15" s="40"/>
      <c r="D15" s="40"/>
      <c r="E15" s="40"/>
      <c r="F15" s="40"/>
      <c r="G15" s="4"/>
    </row>
  </sheetData>
  <sortState ref="A8:D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5"/>
  <sheetViews>
    <sheetView workbookViewId="0">
      <selection activeCell="A8" sqref="A8:G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424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43146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AVERAGE(C8:C9)*(AVERAGE(D8:D9)/100)</f>
        <v>1.1167922038314099E-2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232</v>
      </c>
      <c r="C8" s="40">
        <f>TIME(0,30,52)</f>
        <v>2.1435185185185186E-2</v>
      </c>
      <c r="D8" s="6">
        <f>INDEX('Points Summary'!$F$4:$F$672,G8)</f>
        <v>53.320357367520515</v>
      </c>
      <c r="E8" s="41">
        <f>(AVERAGE($D$8:$D$9)/100*AVERAGE($C$8:$C$9))/C8</f>
        <v>0.52100888990838989</v>
      </c>
      <c r="F8" s="5"/>
      <c r="G8" s="4">
        <f>MATCH(B8,'Points Summary'!$B$4:$B$673,0)</f>
        <v>133</v>
      </c>
    </row>
    <row r="9" spans="1:9" x14ac:dyDescent="0.2">
      <c r="A9" s="4">
        <v>1</v>
      </c>
      <c r="B9" s="5" t="s">
        <v>289</v>
      </c>
      <c r="C9" s="40">
        <f>TIME(0,30,10)</f>
        <v>2.0949074074074075E-2</v>
      </c>
      <c r="D9" s="6">
        <f>INDEX('Points Summary'!$F$4:$F$672,G9)</f>
        <v>52.076525659277756</v>
      </c>
      <c r="E9" s="41">
        <f>(AVERAGE($D$8:$D$9)/100*AVERAGE($C$8:$C$9))/C9</f>
        <v>0.53309859895598788</v>
      </c>
      <c r="F9" s="5"/>
      <c r="G9" s="4">
        <f>MATCH(B9,'Points Summary'!$B$4:$B$673,0)</f>
        <v>11</v>
      </c>
    </row>
    <row r="10" spans="1:9" x14ac:dyDescent="0.2">
      <c r="A10" s="4">
        <v>1</v>
      </c>
      <c r="B10" s="5" t="s">
        <v>429</v>
      </c>
      <c r="C10" s="40">
        <f>TIME(0,25,44)</f>
        <v>1.7870370370370373E-2</v>
      </c>
      <c r="D10" s="6">
        <f>INDEX('Points Summary'!$F$4:$F$672,G10)</f>
        <v>0</v>
      </c>
      <c r="E10" s="41">
        <f>(AVERAGE($D$8:$D$9)/100*AVERAGE($C$8:$C$9))/C10</f>
        <v>0.62494071509736915</v>
      </c>
      <c r="F10" s="5"/>
      <c r="G10" s="4">
        <f>MATCH(B10,'Points Summary'!$B$4:$B$673,0)</f>
        <v>143</v>
      </c>
      <c r="I10" s="217"/>
    </row>
    <row r="11" spans="1:9" x14ac:dyDescent="0.2">
      <c r="A11" s="4"/>
      <c r="B11" s="5"/>
      <c r="C11" s="40"/>
      <c r="D11" s="6"/>
      <c r="E11" s="41"/>
      <c r="F11" s="5"/>
      <c r="G11" s="4"/>
      <c r="I11" s="217"/>
    </row>
    <row r="12" spans="1:9" x14ac:dyDescent="0.2">
      <c r="A12" s="4"/>
      <c r="B12" s="5"/>
      <c r="C12" s="40"/>
      <c r="D12" s="6"/>
      <c r="E12" s="41"/>
      <c r="F12" s="5"/>
      <c r="G12" s="4"/>
      <c r="I12" s="217"/>
    </row>
    <row r="13" spans="1:9" x14ac:dyDescent="0.2">
      <c r="A13" s="4"/>
      <c r="B13" s="5"/>
      <c r="C13" s="40"/>
      <c r="D13" s="6"/>
      <c r="E13" s="41"/>
      <c r="F13" s="5"/>
      <c r="G13" s="4"/>
      <c r="I13" s="217"/>
    </row>
    <row r="14" spans="1:9" x14ac:dyDescent="0.2">
      <c r="A14" s="4"/>
      <c r="C14" s="40"/>
      <c r="D14" s="6"/>
      <c r="E14" s="41"/>
      <c r="F14" s="5"/>
      <c r="G14" s="4"/>
      <c r="I14" s="217"/>
    </row>
    <row r="15" spans="1:9" x14ac:dyDescent="0.2">
      <c r="A15" s="68"/>
      <c r="C15" s="40"/>
      <c r="D15" s="6"/>
      <c r="E15" s="41"/>
      <c r="F15" s="5"/>
      <c r="G15" s="4"/>
    </row>
  </sheetData>
  <sortState ref="A8:G10">
    <sortCondition descending="1" ref="D8:D10"/>
  </sortState>
  <phoneticPr fontId="0" type="noConversion"/>
  <hyperlinks>
    <hyperlink ref="B9" r:id="rId1" display="http://services.biathlonresults.com/athletes.aspx?IbuId=BTUSA21204199401" xr:uid="{00000000-0004-0000-29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9"/>
  <sheetViews>
    <sheetView workbookViewId="0">
      <selection activeCell="B8" sqref="B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430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43148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431</v>
      </c>
      <c r="C5" s="35"/>
      <c r="D5" s="35"/>
      <c r="E5" s="35" t="s">
        <v>28</v>
      </c>
      <c r="F5" s="52">
        <f>AVERAGE(C8:C10)*(AVERAGE(D8:D10)/100)</f>
        <v>1.4766878671163402E-2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4</v>
      </c>
      <c r="B8" s="5" t="s">
        <v>309</v>
      </c>
      <c r="C8" s="40">
        <v>2.5185185185185185E-2</v>
      </c>
      <c r="D8" s="6">
        <f>INDEX('Points Summary'!$F$4:$F$672,G8)</f>
        <v>50.70676238380927</v>
      </c>
      <c r="E8" s="41">
        <f t="shared" ref="E8:E19" si="0">(AVERAGE($D$8:$D$10)/100*AVERAGE($C$8:$C$10))/C8</f>
        <v>0.58633194723737037</v>
      </c>
      <c r="F8" s="5"/>
      <c r="G8" s="4">
        <f>MATCH(B8,'Points Summary'!$B$4:$B$673,0)</f>
        <v>115</v>
      </c>
    </row>
    <row r="9" spans="1:7" x14ac:dyDescent="0.2">
      <c r="A9" s="4">
        <v>3</v>
      </c>
      <c r="B9" s="5" t="s">
        <v>411</v>
      </c>
      <c r="C9" s="40">
        <v>2.2685185185185183E-2</v>
      </c>
      <c r="D9" s="6">
        <f>INDEX('Points Summary'!$F$4:$F$672,G9)</f>
        <v>61.726198870793141</v>
      </c>
      <c r="E9" s="41">
        <f t="shared" si="0"/>
        <v>0.65094812101455002</v>
      </c>
      <c r="F9" s="5"/>
      <c r="G9" s="4">
        <f>MATCH(B9,'Points Summary'!$B$4:$B$673,0)</f>
        <v>99</v>
      </c>
    </row>
    <row r="10" spans="1:7" x14ac:dyDescent="0.2">
      <c r="A10" s="4">
        <v>2</v>
      </c>
      <c r="B10" s="5" t="s">
        <v>347</v>
      </c>
      <c r="C10" s="40">
        <v>2.1064814814814814E-2</v>
      </c>
      <c r="D10" s="6">
        <f>INDEX('Points Summary'!$F$4:$F$672,G10)</f>
        <v>80.359598428014465</v>
      </c>
      <c r="E10" s="41">
        <f t="shared" si="0"/>
        <v>0.70102105340028453</v>
      </c>
      <c r="F10" s="5"/>
      <c r="G10" s="4">
        <f>MATCH(B10,'Points Summary'!$B$4:$B$673,0)</f>
        <v>128</v>
      </c>
    </row>
    <row r="11" spans="1:7" x14ac:dyDescent="0.2">
      <c r="A11" s="4">
        <v>1</v>
      </c>
      <c r="B11" s="5" t="s">
        <v>432</v>
      </c>
      <c r="C11" s="40">
        <v>2.4930555555555553E-2</v>
      </c>
      <c r="D11" s="6">
        <f>INDEX('Points Summary'!$F$4:$F$672,G11)</f>
        <v>0</v>
      </c>
      <c r="E11" s="41">
        <f t="shared" si="0"/>
        <v>0.59232048151741779</v>
      </c>
      <c r="F11" s="5"/>
      <c r="G11" s="4">
        <f>MATCH(B11,'Points Summary'!$B$4:$B$673,0)</f>
        <v>109</v>
      </c>
    </row>
    <row r="12" spans="1:7" x14ac:dyDescent="0.2">
      <c r="A12" s="4">
        <v>2</v>
      </c>
      <c r="B12" s="5" t="s">
        <v>433</v>
      </c>
      <c r="C12" s="40">
        <v>2.8391203703703707E-2</v>
      </c>
      <c r="D12" s="6">
        <f>INDEX('Points Summary'!$F$4:$F$672,G12)</f>
        <v>0</v>
      </c>
      <c r="E12" s="41">
        <f t="shared" si="0"/>
        <v>0.52012161320363548</v>
      </c>
      <c r="F12" s="5"/>
      <c r="G12" s="4">
        <f>MATCH(B12,'Points Summary'!$B$4:$B$673,0)</f>
        <v>69</v>
      </c>
    </row>
    <row r="13" spans="1:7" x14ac:dyDescent="0.2">
      <c r="A13" s="4">
        <v>1</v>
      </c>
      <c r="B13" s="5" t="s">
        <v>434</v>
      </c>
      <c r="C13" s="40">
        <v>3.4363425925925929E-2</v>
      </c>
      <c r="D13" s="6">
        <f>INDEX('Points Summary'!$F$4:$F$672,G13)</f>
        <v>0</v>
      </c>
      <c r="E13" s="41">
        <f t="shared" si="0"/>
        <v>0.42972661407494706</v>
      </c>
      <c r="F13" s="5"/>
      <c r="G13" s="4">
        <f>MATCH(B13,'Points Summary'!$B$4:$B$673,0)</f>
        <v>150</v>
      </c>
    </row>
    <row r="14" spans="1:7" x14ac:dyDescent="0.2">
      <c r="A14" s="4">
        <v>1</v>
      </c>
      <c r="B14" s="5" t="s">
        <v>435</v>
      </c>
      <c r="C14" s="40">
        <v>2.6562499999999999E-2</v>
      </c>
      <c r="D14" s="6">
        <f>INDEX('Points Summary'!$F$4:$F$672,G14)</f>
        <v>0</v>
      </c>
      <c r="E14" s="41">
        <f t="shared" si="0"/>
        <v>0.55592954997321042</v>
      </c>
      <c r="F14" s="5"/>
      <c r="G14" s="4">
        <f>MATCH(B14,'Points Summary'!$B$4:$B$673,0)</f>
        <v>102</v>
      </c>
    </row>
    <row r="15" spans="1:7" x14ac:dyDescent="0.2">
      <c r="A15" s="4">
        <v>1</v>
      </c>
      <c r="B15" s="5" t="s">
        <v>436</v>
      </c>
      <c r="C15" s="40">
        <v>1.8564814814814815E-2</v>
      </c>
      <c r="D15" s="6">
        <f>INDEX('Points Summary'!$F$4:$F$672,G15)</f>
        <v>0</v>
      </c>
      <c r="E15" s="41">
        <f t="shared" si="0"/>
        <v>0.7954228910152854</v>
      </c>
      <c r="F15" s="5"/>
      <c r="G15" s="4">
        <f>MATCH(B15,'Points Summary'!$B$4:$B$673,0)</f>
        <v>12</v>
      </c>
    </row>
    <row r="16" spans="1:7" x14ac:dyDescent="0.2">
      <c r="A16" s="4">
        <v>5</v>
      </c>
      <c r="B16" s="5" t="s">
        <v>437</v>
      </c>
      <c r="C16" s="40">
        <v>2.7199074074074073E-2</v>
      </c>
      <c r="D16" s="6">
        <f>INDEX('Points Summary'!$F$4:$F$672,G16)</f>
        <v>0</v>
      </c>
      <c r="E16" s="41">
        <f t="shared" si="0"/>
        <v>0.5429184328461778</v>
      </c>
      <c r="F16" s="5"/>
      <c r="G16" s="4">
        <f>MATCH(B16,'Points Summary'!$B$4:$B$673,0)</f>
        <v>100</v>
      </c>
    </row>
    <row r="17" spans="1:7" x14ac:dyDescent="0.2">
      <c r="A17" s="4">
        <v>6</v>
      </c>
      <c r="B17" s="5" t="s">
        <v>438</v>
      </c>
      <c r="C17" s="40">
        <v>2.7511574074074074E-2</v>
      </c>
      <c r="D17" s="6">
        <f>INDEX('Points Summary'!$F$4:$F$672,G17)</f>
        <v>0</v>
      </c>
      <c r="E17" s="41">
        <f t="shared" si="0"/>
        <v>0.53675150071035671</v>
      </c>
      <c r="F17" s="5"/>
      <c r="G17" s="4">
        <f>MATCH(B17,'Points Summary'!$B$4:$B$673,0)</f>
        <v>119</v>
      </c>
    </row>
    <row r="18" spans="1:7" x14ac:dyDescent="0.2">
      <c r="A18" s="4">
        <v>7</v>
      </c>
      <c r="B18" s="5" t="s">
        <v>439</v>
      </c>
      <c r="C18" s="40">
        <v>2.8321759259259258E-2</v>
      </c>
      <c r="D18" s="6">
        <f>INDEX('Points Summary'!$F$4:$F$672,G18)</f>
        <v>0</v>
      </c>
      <c r="E18" s="41">
        <f t="shared" si="0"/>
        <v>0.52139694204679932</v>
      </c>
      <c r="F18" s="5"/>
      <c r="G18" s="4">
        <f>MATCH(B18,'Points Summary'!$B$4:$B$673,0)</f>
        <v>123</v>
      </c>
    </row>
    <row r="19" spans="1:7" x14ac:dyDescent="0.2">
      <c r="A19" s="4">
        <v>8</v>
      </c>
      <c r="B19" s="5" t="s">
        <v>440</v>
      </c>
      <c r="C19" s="40">
        <v>3.2696759259259259E-2</v>
      </c>
      <c r="D19" s="6">
        <f>INDEX('Points Summary'!$F$4:$F$672,G19)</f>
        <v>0</v>
      </c>
      <c r="E19" s="41">
        <f t="shared" si="0"/>
        <v>0.45163126272159926</v>
      </c>
      <c r="F19" s="5"/>
      <c r="G19" s="4">
        <f>MATCH(B19,'Points Summary'!$B$4:$B$673,0)</f>
        <v>29</v>
      </c>
    </row>
  </sheetData>
  <sortState ref="A8:G19">
    <sortCondition ref="D8:D19"/>
  </sortState>
  <phoneticPr fontId="0" type="noConversion"/>
  <hyperlinks>
    <hyperlink ref="B11" r:id="rId1" display="http://services.biathlonresults.com/athletes.aspx?IbuId=BTUSA22404199801" xr:uid="{00000000-0004-0000-2A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23"/>
  <sheetViews>
    <sheetView workbookViewId="0">
      <selection activeCell="F18" sqref="F1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430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43149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431</v>
      </c>
      <c r="C5" s="35"/>
      <c r="D5" s="35"/>
      <c r="E5" s="35" t="s">
        <v>28</v>
      </c>
      <c r="F5" s="52">
        <f>AVERAGE(C8:C9)*(AVERAGE(D8:D9)/100)</f>
        <v>2.1091915444095843E-2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4">
        <v>1</v>
      </c>
      <c r="B8" t="s">
        <v>347</v>
      </c>
      <c r="C8" s="40">
        <v>2.9097222222222222E-2</v>
      </c>
      <c r="D8" s="6">
        <f>INDEX('Points Summary'!$F$4:$F$672,G8)</f>
        <v>80.359598428014465</v>
      </c>
      <c r="E8" s="67">
        <f>(AVERAGE($D$8:$D$9)/100*AVERAGE($C$8:$C$9))/C8</f>
        <v>0.72487728495221992</v>
      </c>
      <c r="F8" s="5"/>
      <c r="G8" s="4">
        <f>MATCH(B8,'Points Summary'!$B$4:$B$673,0)</f>
        <v>128</v>
      </c>
      <c r="H8" s="101"/>
      <c r="I8" s="40"/>
      <c r="J8" s="40"/>
      <c r="K8" s="40"/>
    </row>
    <row r="9" spans="1:11" x14ac:dyDescent="0.2">
      <c r="A9" s="4">
        <v>2</v>
      </c>
      <c r="B9" s="5" t="s">
        <v>311</v>
      </c>
      <c r="C9" s="40">
        <v>3.2824074074074075E-2</v>
      </c>
      <c r="D9" s="6">
        <f>INDEX('Points Summary'!$F$4:$F$672,G9)</f>
        <v>55.890232926742982</v>
      </c>
      <c r="E9" s="67">
        <f t="shared" ref="E9:E19" si="0">(AVERAGE($D$8:$D$9)/100*AVERAGE($C$8:$C$9))/C9</f>
        <v>0.64257457488359693</v>
      </c>
      <c r="F9" s="5"/>
      <c r="G9" s="4">
        <f>MATCH(B9,'Points Summary'!$B$4:$B$673,0)</f>
        <v>63</v>
      </c>
      <c r="H9" s="101"/>
      <c r="I9" s="40"/>
      <c r="J9" s="40"/>
      <c r="K9" s="40"/>
    </row>
    <row r="10" spans="1:11" ht="13.5" thickBot="1" x14ac:dyDescent="0.25">
      <c r="A10" s="4">
        <v>1</v>
      </c>
      <c r="B10" s="5" t="s">
        <v>437</v>
      </c>
      <c r="C10" s="40">
        <v>2.9837962962962965E-2</v>
      </c>
      <c r="D10" s="6">
        <f>INDEX('Points Summary'!$F$4:$F$672,G10)</f>
        <v>0</v>
      </c>
      <c r="E10" s="67">
        <f t="shared" si="0"/>
        <v>0.70688188299840216</v>
      </c>
      <c r="F10" s="5"/>
      <c r="G10" s="4">
        <f>MATCH(B10,'Points Summary'!$B$4:$B$673,0)</f>
        <v>100</v>
      </c>
      <c r="H10" s="101"/>
      <c r="K10" s="40"/>
    </row>
    <row r="11" spans="1:11" ht="13.5" thickBot="1" x14ac:dyDescent="0.25">
      <c r="A11" s="4">
        <v>4</v>
      </c>
      <c r="B11" s="5" t="s">
        <v>433</v>
      </c>
      <c r="C11" s="40">
        <v>3.8437499999999999E-2</v>
      </c>
      <c r="D11" s="6">
        <f>INDEX('Points Summary'!$F$4:$F$672,G11)</f>
        <v>0</v>
      </c>
      <c r="E11" s="67">
        <f t="shared" si="0"/>
        <v>0.54873275952119271</v>
      </c>
      <c r="F11" s="5"/>
      <c r="G11" s="4">
        <f>MATCH(B11,'Points Summary'!$B$4:$B$673,0)</f>
        <v>69</v>
      </c>
      <c r="H11" s="101"/>
      <c r="I11" s="206"/>
      <c r="J11" s="207"/>
      <c r="K11" s="40"/>
    </row>
    <row r="12" spans="1:11" ht="13.5" thickBot="1" x14ac:dyDescent="0.25">
      <c r="A12" s="4">
        <v>1</v>
      </c>
      <c r="B12" s="5" t="s">
        <v>434</v>
      </c>
      <c r="C12" s="40">
        <v>4.0462962962962964E-2</v>
      </c>
      <c r="D12" s="6">
        <f>INDEX('Points Summary'!$F$4:$F$672,G12)</f>
        <v>0</v>
      </c>
      <c r="E12" s="67">
        <f t="shared" si="0"/>
        <v>0.52126472951083547</v>
      </c>
      <c r="F12" s="5"/>
      <c r="G12" s="4">
        <f>MATCH(B12,'Points Summary'!$B$4:$B$673,0)</f>
        <v>150</v>
      </c>
      <c r="H12" s="101"/>
      <c r="I12" s="206"/>
      <c r="J12" s="207"/>
      <c r="K12" s="40"/>
    </row>
    <row r="13" spans="1:11" x14ac:dyDescent="0.2">
      <c r="A13" s="4">
        <v>1</v>
      </c>
      <c r="B13" t="s">
        <v>440</v>
      </c>
      <c r="C13" s="40">
        <v>3.4178240740740738E-2</v>
      </c>
      <c r="D13" s="6">
        <f>INDEX('Points Summary'!$F$4:$F$672,G13)</f>
        <v>0</v>
      </c>
      <c r="E13" s="67">
        <f t="shared" si="0"/>
        <v>0.61711530456142261</v>
      </c>
      <c r="F13" s="5"/>
      <c r="G13" s="4">
        <f>MATCH(B13,'Points Summary'!$B$4:$B$673,0)</f>
        <v>29</v>
      </c>
      <c r="H13" s="101"/>
      <c r="I13" s="206"/>
      <c r="J13" s="207"/>
      <c r="K13" s="40"/>
    </row>
    <row r="14" spans="1:11" x14ac:dyDescent="0.2">
      <c r="A14" s="4">
        <v>2</v>
      </c>
      <c r="B14" t="s">
        <v>438</v>
      </c>
      <c r="C14" s="40">
        <v>3.7627314814814815E-2</v>
      </c>
      <c r="D14" s="6">
        <f>INDEX('Points Summary'!$F$4:$F$672,G14)</f>
        <v>0</v>
      </c>
      <c r="E14" s="67">
        <f t="shared" si="0"/>
        <v>0.56054798350350066</v>
      </c>
      <c r="F14" s="5"/>
      <c r="G14" s="4">
        <f>MATCH(B14,'Points Summary'!$B$4:$B$673,0)</f>
        <v>119</v>
      </c>
      <c r="H14" s="101"/>
      <c r="K14" s="40"/>
    </row>
    <row r="15" spans="1:11" x14ac:dyDescent="0.2">
      <c r="A15" s="4">
        <v>3</v>
      </c>
      <c r="B15" t="s">
        <v>439</v>
      </c>
      <c r="C15" s="40">
        <v>3.9525462962962964E-2</v>
      </c>
      <c r="D15" s="6">
        <f>INDEX('Points Summary'!$F$4:$F$672,G15)</f>
        <v>0</v>
      </c>
      <c r="E15" s="67">
        <f t="shared" si="0"/>
        <v>0.53362854886380107</v>
      </c>
      <c r="F15" s="5"/>
      <c r="G15" s="4">
        <f>MATCH(B15,'Points Summary'!$B$4:$B$673,0)</f>
        <v>123</v>
      </c>
      <c r="H15" s="101"/>
      <c r="K15" s="40"/>
    </row>
    <row r="16" spans="1:11" x14ac:dyDescent="0.2">
      <c r="A16" s="4">
        <v>3</v>
      </c>
      <c r="B16" s="5" t="s">
        <v>441</v>
      </c>
      <c r="C16" s="40">
        <v>3.8136574074074073E-2</v>
      </c>
      <c r="D16" s="6">
        <f>INDEX('Points Summary'!$F$4:$F$672,G16)</f>
        <v>0</v>
      </c>
      <c r="E16" s="67">
        <f t="shared" si="0"/>
        <v>0.55306266900451617</v>
      </c>
      <c r="F16" s="5"/>
      <c r="G16" s="4">
        <f>MATCH(B16,'Points Summary'!$B$4:$B$673,0)</f>
        <v>3</v>
      </c>
      <c r="H16" s="101"/>
      <c r="K16" s="40"/>
    </row>
    <row r="17" spans="1:7" x14ac:dyDescent="0.2">
      <c r="A17" s="4">
        <v>4</v>
      </c>
      <c r="B17" s="5" t="s">
        <v>442</v>
      </c>
      <c r="C17" s="40">
        <v>3.9490740740740743E-2</v>
      </c>
      <c r="D17" s="6">
        <f>INDEX('Points Summary'!$F$4:$F$672,G17)</f>
        <v>0</v>
      </c>
      <c r="E17" s="67">
        <f t="shared" si="0"/>
        <v>0.53409774160899204</v>
      </c>
      <c r="F17" s="5"/>
      <c r="G17" s="4">
        <f>MATCH(B17,'Points Summary'!$B$4:$B$673,0)</f>
        <v>136</v>
      </c>
    </row>
    <row r="18" spans="1:7" x14ac:dyDescent="0.2">
      <c r="A18" s="63">
        <v>2</v>
      </c>
      <c r="B18" s="5" t="s">
        <v>443</v>
      </c>
      <c r="C18" s="40">
        <v>5.31712962962963E-2</v>
      </c>
      <c r="D18" s="6">
        <f>INDEX('Points Summary'!$F$4:$F$672,G18)</f>
        <v>0</v>
      </c>
      <c r="E18" s="67">
        <f t="shared" si="0"/>
        <v>0.39667860129949517</v>
      </c>
      <c r="F18" s="5"/>
      <c r="G18" s="4">
        <f>MATCH(B18,'Points Summary'!$B$4:$B$673,0)</f>
        <v>116</v>
      </c>
    </row>
    <row r="19" spans="1:7" x14ac:dyDescent="0.2">
      <c r="A19" s="4">
        <v>3</v>
      </c>
      <c r="B19" s="5" t="s">
        <v>444</v>
      </c>
      <c r="C19" s="40">
        <v>5.5300925925925927E-2</v>
      </c>
      <c r="D19" s="6">
        <f>INDEX('Points Summary'!$F$4:$F$672,G19)</f>
        <v>0</v>
      </c>
      <c r="E19" s="67">
        <f t="shared" si="0"/>
        <v>0.38140257312052755</v>
      </c>
      <c r="F19" s="5"/>
      <c r="G19" s="4">
        <f>MATCH(B19,'Points Summary'!$B$4:$B$673,0)</f>
        <v>130</v>
      </c>
    </row>
    <row r="23" spans="1:7" x14ac:dyDescent="0.2">
      <c r="A23" s="4"/>
      <c r="C23" s="40"/>
      <c r="D23" s="6"/>
      <c r="E23" s="41"/>
      <c r="F23" s="5"/>
      <c r="G23" s="4"/>
    </row>
  </sheetData>
  <sortState ref="A8:E15">
    <sortCondition descending="1" ref="D8:D15"/>
  </sortState>
  <phoneticPr fontId="0" type="noConversion"/>
  <hyperlinks>
    <hyperlink ref="B11" r:id="rId1" display="http://services.biathlonresults.com/athletes.aspx?IbuId=BTUSA20205199801" xr:uid="{00000000-0004-0000-2B00-000000000000}"/>
    <hyperlink ref="B10" r:id="rId2" display="http://services.biathlonresults.com/athletes.aspx?IbuId=BTUSA22404199801" xr:uid="{00000000-0004-0000-2B00-000001000000}"/>
    <hyperlink ref="B16" r:id="rId3" display="http://services.biathlonresults.com/athletes.aspx?IbuId=BTUSA22401199001" xr:uid="{00000000-0004-0000-2B00-000002000000}"/>
  </hyperlinks>
  <printOptions horizontalCentered="1"/>
  <pageMargins left="0.75" right="0.75" top="1" bottom="1" header="0.5" footer="0.5"/>
  <pageSetup orientation="portrait" horizontalDpi="4294967292" verticalDpi="1200" r:id="rId4"/>
  <headerFooter alignWithMargins="0">
    <oddHeader>&amp;L&amp;"Tahoma,Bold"&amp;11U.S. Biathlon Association&amp;R&amp;"Tahoma,Bold"&amp;11 2017 Race Points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20"/>
  <sheetViews>
    <sheetView workbookViewId="0">
      <selection activeCell="B11" sqref="B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445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43156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23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446</v>
      </c>
      <c r="C5" s="35"/>
      <c r="D5" s="35"/>
      <c r="E5" s="35" t="s">
        <v>28</v>
      </c>
      <c r="F5" s="52">
        <f>AVERAGE(C8:C10)*(AVERAGE(D8:D10)/100)</f>
        <v>2.2027897577900593E-2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74</v>
      </c>
      <c r="B8" s="5" t="s">
        <v>245</v>
      </c>
      <c r="C8" s="60">
        <v>3.0287037037037032E-2</v>
      </c>
      <c r="D8" s="6">
        <f>INDEX('Points Summary'!$F$4:$F$672,G8)</f>
        <v>74.046015962152183</v>
      </c>
      <c r="E8" s="67">
        <f>(AVERAGE($D$8:$D$10)/100*AVERAGE($C$8:$C$10))/C8</f>
        <v>0.72730447521041408</v>
      </c>
      <c r="F8" s="5"/>
      <c r="G8" s="4">
        <f>MATCH(B8,'Points Summary'!$B$4:$B$673,0)</f>
        <v>142</v>
      </c>
    </row>
    <row r="9" spans="1:7" x14ac:dyDescent="0.2">
      <c r="A9" s="4">
        <v>84</v>
      </c>
      <c r="B9" s="5" t="s">
        <v>242</v>
      </c>
      <c r="C9" s="60">
        <v>3.2664351851851854E-2</v>
      </c>
      <c r="D9" s="6">
        <f>INDEX('Points Summary'!$F$4:$F$672,G9)</f>
        <v>70.939536977561588</v>
      </c>
      <c r="E9" s="67">
        <f>(AVERAGE($D$8:$D$10)/100*AVERAGE($C$8:$C$10))/C9</f>
        <v>0.67437118231543158</v>
      </c>
      <c r="F9" s="5"/>
      <c r="G9" s="4">
        <f>MATCH(B9,'Points Summary'!$B$4:$B$673,0)</f>
        <v>54</v>
      </c>
    </row>
    <row r="10" spans="1:7" x14ac:dyDescent="0.2">
      <c r="A10" s="4">
        <v>60</v>
      </c>
      <c r="B10" s="5" t="s">
        <v>243</v>
      </c>
      <c r="C10" s="60">
        <v>2.8909722222222226E-2</v>
      </c>
      <c r="D10" s="6">
        <f>INDEX('Points Summary'!$F$4:$F$672,G10)</f>
        <v>70.830558800225518</v>
      </c>
      <c r="E10" s="67">
        <f>(AVERAGE($D$8:$D$10)/100*AVERAGE($C$8:$C$10))/C10</f>
        <v>0.76195466039339055</v>
      </c>
      <c r="F10" s="5"/>
      <c r="G10" s="4">
        <f>MATCH(B10,'Points Summary'!$B$4:$B$673,0)</f>
        <v>120</v>
      </c>
    </row>
    <row r="11" spans="1:7" x14ac:dyDescent="0.2">
      <c r="A11" s="4">
        <v>83</v>
      </c>
      <c r="B11" s="5" t="s">
        <v>451</v>
      </c>
      <c r="C11" s="60">
        <v>3.2289351851851854E-2</v>
      </c>
      <c r="D11" s="6">
        <f>INDEX('Points Summary'!$F$4:$F$672,G11)</f>
        <v>70.481290318598795</v>
      </c>
      <c r="E11" s="67">
        <f>(AVERAGE($D$8:$D$10)/100*AVERAGE($C$8:$C$10))/C11</f>
        <v>0.6822031510253822</v>
      </c>
      <c r="F11" s="5"/>
      <c r="G11" s="4">
        <f>MATCH(B11,'Points Summary'!$B$4:$B$673,0)</f>
        <v>85</v>
      </c>
    </row>
    <row r="12" spans="1:7" x14ac:dyDescent="0.2">
      <c r="A12" s="4"/>
      <c r="B12" s="5"/>
      <c r="C12" s="60"/>
      <c r="D12" s="6"/>
      <c r="E12" s="67"/>
      <c r="F12" s="5"/>
      <c r="G12" s="4"/>
    </row>
    <row r="13" spans="1:7" x14ac:dyDescent="0.2">
      <c r="A13" s="4"/>
      <c r="B13" s="5"/>
      <c r="C13" s="60"/>
      <c r="D13" s="6"/>
      <c r="E13" s="67"/>
      <c r="F13" s="5"/>
      <c r="G13" s="4"/>
    </row>
    <row r="14" spans="1:7" x14ac:dyDescent="0.2">
      <c r="A14" s="4"/>
      <c r="B14" s="5"/>
      <c r="C14" s="60"/>
      <c r="D14" s="6"/>
      <c r="E14" s="67"/>
      <c r="F14" s="5"/>
      <c r="G14" s="4"/>
    </row>
    <row r="15" spans="1:7" x14ac:dyDescent="0.2">
      <c r="A15" s="4"/>
      <c r="B15" s="5"/>
      <c r="C15" s="60"/>
      <c r="D15" s="60"/>
      <c r="E15" s="40"/>
      <c r="F15" s="5"/>
      <c r="G15" s="4"/>
    </row>
    <row r="16" spans="1:7" x14ac:dyDescent="0.2">
      <c r="A16" s="4"/>
      <c r="B16" s="5"/>
      <c r="C16" s="60"/>
      <c r="D16" s="6"/>
      <c r="E16" s="41"/>
      <c r="F16" s="5"/>
      <c r="G16" s="4"/>
    </row>
    <row r="17" spans="1:7" x14ac:dyDescent="0.2">
      <c r="A17" s="4"/>
      <c r="C17" s="60"/>
      <c r="D17" s="6"/>
      <c r="E17" s="41"/>
      <c r="F17" s="5"/>
      <c r="G17" s="4"/>
    </row>
    <row r="18" spans="1:7" x14ac:dyDescent="0.2">
      <c r="A18" s="63"/>
      <c r="C18" s="63"/>
      <c r="D18" s="6"/>
    </row>
    <row r="19" spans="1:7" x14ac:dyDescent="0.2">
      <c r="C19" s="63"/>
    </row>
    <row r="20" spans="1:7" x14ac:dyDescent="0.2">
      <c r="C20" s="63"/>
    </row>
  </sheetData>
  <sortState ref="A8:G11">
    <sortCondition descending="1" ref="D8:D11"/>
  </sortState>
  <phoneticPr fontId="0" type="noConversion"/>
  <hyperlinks>
    <hyperlink ref="B10" r:id="rId1" display="http://services.biathlonresults.com/athletes.aspx?IbuId=BTUSA22404199801" xr:uid="{00000000-0004-0000-2C00-000000000000}"/>
    <hyperlink ref="B11" r:id="rId2" display="http://services.biathlonresults.com/athletes.aspx?IbuId=BTUSA22401199001" xr:uid="{00000000-0004-0000-2C00-000001000000}"/>
  </hyperlinks>
  <printOptions horizontalCentered="1"/>
  <pageMargins left="0.75" right="0.75" top="1" bottom="1" header="0.5" footer="0.5"/>
  <pageSetup orientation="portrait" horizontalDpi="4294967292" verticalDpi="1200" r:id="rId3"/>
  <headerFooter alignWithMargins="0">
    <oddHeader>&amp;L&amp;"Tahoma,Bold"&amp;11U.S. Biathlon Association&amp;R&amp;"Tahoma,Bold"&amp;11 2018 Race Points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18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447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43126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 t="s">
        <v>15</v>
      </c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448</v>
      </c>
      <c r="C5" s="35"/>
      <c r="D5" s="35"/>
      <c r="E5" s="35" t="s">
        <v>28</v>
      </c>
      <c r="F5" s="52">
        <f>AVERAGE(C8:C10)*(AVERAGE(D8:D10)/100)</f>
        <v>1.348829089008248E-2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55</v>
      </c>
      <c r="B8" s="5" t="s">
        <v>245</v>
      </c>
      <c r="C8" s="40">
        <v>1.9207175925925926E-2</v>
      </c>
      <c r="D8" s="6">
        <f>INDEX('Points Summary'!$E$4:$E$672,G8)</f>
        <v>74.046015962152183</v>
      </c>
      <c r="E8" s="67">
        <f>(AVERAGE($D$8:$D$10)/100*AVERAGE($C$8:$C$10))/C8</f>
        <v>0.70225268629293536</v>
      </c>
      <c r="F8" s="5"/>
      <c r="G8" s="4">
        <f>MATCH(B8,'Points Summary'!$B$4:$B$673,0)</f>
        <v>142</v>
      </c>
    </row>
    <row r="9" spans="1:7" x14ac:dyDescent="0.2">
      <c r="A9" s="4">
        <v>47</v>
      </c>
      <c r="B9" s="5" t="s">
        <v>242</v>
      </c>
      <c r="C9" s="40">
        <v>1.8914351851851852E-2</v>
      </c>
      <c r="D9" s="6">
        <f>INDEX('Points Summary'!$E$4:$E$672,G9)</f>
        <v>70.939536977561588</v>
      </c>
      <c r="E9" s="67">
        <f t="shared" ref="E9:E10" si="0">(AVERAGE($D$8:$D$10)/100*AVERAGE($C$8:$C$10))/C9</f>
        <v>0.71312466827996956</v>
      </c>
      <c r="F9" s="5"/>
      <c r="G9" s="4">
        <f>MATCH(B9,'Points Summary'!$B$4:$B$673,0)</f>
        <v>54</v>
      </c>
    </row>
    <row r="10" spans="1:7" x14ac:dyDescent="0.2">
      <c r="A10" s="4">
        <v>39</v>
      </c>
      <c r="B10" s="5" t="s">
        <v>451</v>
      </c>
      <c r="C10" s="40">
        <v>1.8218749999999999E-2</v>
      </c>
      <c r="D10" s="6">
        <f>INDEX('Points Summary'!$E$4:$E$672,G10)</f>
        <v>70.481290318598795</v>
      </c>
      <c r="E10" s="67">
        <f t="shared" si="0"/>
        <v>0.74035215863231452</v>
      </c>
      <c r="F10" s="5"/>
      <c r="G10" s="4">
        <f>MATCH(B10,'Points Summary'!$B$4:$B$673,0)</f>
        <v>85</v>
      </c>
    </row>
    <row r="11" spans="1:7" x14ac:dyDescent="0.2">
      <c r="A11" s="63"/>
      <c r="B11" s="5"/>
      <c r="C11" s="40"/>
      <c r="D11" s="6"/>
      <c r="E11" s="41"/>
      <c r="F11" s="5"/>
      <c r="G11" s="4"/>
    </row>
    <row r="12" spans="1:7" x14ac:dyDescent="0.2">
      <c r="A12" s="63"/>
      <c r="B12" s="5"/>
      <c r="C12" s="40"/>
      <c r="D12" s="6"/>
      <c r="E12" s="41"/>
      <c r="F12" s="5"/>
      <c r="G12" s="4"/>
    </row>
    <row r="13" spans="1:7" x14ac:dyDescent="0.2">
      <c r="A13" s="4"/>
      <c r="B13" s="5"/>
      <c r="C13" s="40"/>
      <c r="D13" s="6"/>
      <c r="E13" s="41"/>
      <c r="F13" s="5"/>
      <c r="G13" s="4"/>
    </row>
    <row r="14" spans="1:7" x14ac:dyDescent="0.2">
      <c r="B14" s="5"/>
      <c r="C14" s="40"/>
      <c r="D14" s="6"/>
      <c r="E14" s="41"/>
      <c r="F14" s="5"/>
      <c r="G14" s="4"/>
    </row>
    <row r="15" spans="1:7" x14ac:dyDescent="0.2">
      <c r="B15" s="5"/>
      <c r="C15" s="40"/>
      <c r="D15" s="6"/>
      <c r="E15" s="41"/>
      <c r="F15" s="5"/>
      <c r="G15" s="4"/>
    </row>
    <row r="16" spans="1:7" x14ac:dyDescent="0.2">
      <c r="B16" s="5"/>
      <c r="C16" s="40"/>
      <c r="D16" s="6"/>
      <c r="E16" s="41"/>
      <c r="F16" s="5"/>
      <c r="G16" s="4"/>
    </row>
    <row r="17" spans="3:7" x14ac:dyDescent="0.2">
      <c r="C17" s="40"/>
      <c r="D17" s="6"/>
      <c r="E17" s="41"/>
      <c r="F17" s="5"/>
      <c r="G17" s="4"/>
    </row>
    <row r="18" spans="3:7" x14ac:dyDescent="0.2">
      <c r="C18" s="40"/>
      <c r="D18" s="6"/>
      <c r="E18" s="41"/>
      <c r="F18" s="5"/>
      <c r="G18" s="4"/>
    </row>
  </sheetData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23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447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43127</v>
      </c>
      <c r="C2" s="35"/>
      <c r="D2" s="35" t="s">
        <v>15</v>
      </c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448</v>
      </c>
      <c r="C5" s="35"/>
      <c r="D5" s="35"/>
      <c r="E5" s="35" t="s">
        <v>28</v>
      </c>
      <c r="F5" s="52">
        <f>AVERAGE(C8:C10)*(AVERAGE(D8:D10)/100)</f>
        <v>1.4120615139459371E-2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64</v>
      </c>
      <c r="B8" s="5" t="s">
        <v>245</v>
      </c>
      <c r="C8" s="40">
        <v>2.0605324074074075E-2</v>
      </c>
      <c r="D8" s="6">
        <f>INDEX('Points Summary'!$E$4:$E$672,G8)</f>
        <v>74.046015962152183</v>
      </c>
      <c r="E8" s="67">
        <f>(AVERAGE($D$8:$D$10)/100*AVERAGE($C$8:$C$10))/C8</f>
        <v>0.68528964109941559</v>
      </c>
      <c r="F8" s="5"/>
      <c r="G8" s="4">
        <f>MATCH(B8,'Points Summary'!$B$4:$B$673,0)</f>
        <v>142</v>
      </c>
    </row>
    <row r="9" spans="1:7" x14ac:dyDescent="0.2">
      <c r="A9" s="4">
        <v>54</v>
      </c>
      <c r="B9" s="5" t="s">
        <v>242</v>
      </c>
      <c r="C9" s="40">
        <v>1.9585648148148147E-2</v>
      </c>
      <c r="D9" s="6">
        <f>INDEX('Points Summary'!$E$4:$E$672,G9)</f>
        <v>70.939536977561588</v>
      </c>
      <c r="E9" s="67">
        <f>(AVERAGE($D$8:$D$10)/100*AVERAGE($C$8:$C$10))/C9</f>
        <v>0.72096746723158589</v>
      </c>
      <c r="F9" s="5"/>
      <c r="G9" s="4">
        <f>MATCH(B9,'Points Summary'!$B$4:$B$673,0)</f>
        <v>54</v>
      </c>
    </row>
    <row r="10" spans="1:7" x14ac:dyDescent="0.2">
      <c r="A10" s="4">
        <v>45</v>
      </c>
      <c r="B10" s="5" t="s">
        <v>451</v>
      </c>
      <c r="C10" s="40">
        <v>1.879050925925926E-2</v>
      </c>
      <c r="D10" s="6">
        <f>INDEX('Points Summary'!$E$4:$E$672,G10)</f>
        <v>70.481290318598795</v>
      </c>
      <c r="E10" s="67">
        <f>(AVERAGE($D$8:$D$10)/100*AVERAGE($C$8:$C$10))/C10</f>
        <v>0.75147591502882016</v>
      </c>
      <c r="F10" s="5"/>
      <c r="G10" s="4">
        <f>MATCH(B10,'Points Summary'!$B$4:$B$673,0)</f>
        <v>85</v>
      </c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B12" s="5"/>
      <c r="C12" s="60"/>
      <c r="D12" s="60"/>
      <c r="E12" s="40"/>
      <c r="F12" s="5"/>
      <c r="G12" s="4"/>
    </row>
    <row r="13" spans="1:7" x14ac:dyDescent="0.2">
      <c r="A13" s="4"/>
      <c r="B13" s="5"/>
      <c r="C13" s="60"/>
      <c r="D13" s="60"/>
      <c r="E13" s="40"/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63"/>
      <c r="B15" s="5"/>
      <c r="C15" s="40"/>
    </row>
    <row r="16" spans="1:7" x14ac:dyDescent="0.2">
      <c r="A16" s="63"/>
    </row>
    <row r="17" spans="1:1" x14ac:dyDescent="0.2">
      <c r="A17" s="63"/>
    </row>
    <row r="18" spans="1:1" x14ac:dyDescent="0.2">
      <c r="A18" s="63"/>
    </row>
    <row r="19" spans="1:1" x14ac:dyDescent="0.2">
      <c r="A19" s="63"/>
    </row>
    <row r="20" spans="1:1" x14ac:dyDescent="0.2">
      <c r="A20" s="63"/>
    </row>
    <row r="21" spans="1:1" x14ac:dyDescent="0.2">
      <c r="A21" s="63"/>
    </row>
    <row r="22" spans="1:1" x14ac:dyDescent="0.2">
      <c r="A22" s="63"/>
    </row>
    <row r="23" spans="1:1" x14ac:dyDescent="0.2">
      <c r="A23" s="63"/>
    </row>
  </sheetData>
  <sortState ref="A8:E10">
    <sortCondition descending="1" ref="D8:D1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22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449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43132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450</v>
      </c>
      <c r="C5" s="35"/>
      <c r="D5" s="35"/>
      <c r="E5" s="35" t="s">
        <v>28</v>
      </c>
      <c r="F5" s="52">
        <f>AVERAGE(C8:C10)*(AVERAGE(D8:D10)/100)</f>
        <v>2.6205988556011972E-2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69</v>
      </c>
      <c r="B8" s="5" t="s">
        <v>245</v>
      </c>
      <c r="C8" s="60">
        <v>3.8542824074074077E-2</v>
      </c>
      <c r="D8" s="6">
        <f>INDEX('Points Summary'!$F$4:$F$672,G8)</f>
        <v>74.046015962152183</v>
      </c>
      <c r="E8" s="67">
        <f>(AVERAGE($D$8:$D$10)/100*AVERAGE($C$8:$C$10))/C8</f>
        <v>0.67991874455404766</v>
      </c>
      <c r="F8" s="5"/>
      <c r="G8" s="4">
        <f>MATCH(B8,'Points Summary'!$B$4:$B$673,0)</f>
        <v>142</v>
      </c>
    </row>
    <row r="9" spans="1:7" x14ac:dyDescent="0.2">
      <c r="A9" s="4">
        <v>62</v>
      </c>
      <c r="B9" s="5" t="s">
        <v>242</v>
      </c>
      <c r="C9" s="60">
        <v>3.6350694444444442E-2</v>
      </c>
      <c r="D9" s="6">
        <f>INDEX('Points Summary'!$F$4:$F$672,G9)</f>
        <v>70.939536977561588</v>
      </c>
      <c r="E9" s="67">
        <f>(AVERAGE($D$8:$D$10)/100*AVERAGE($C$8:$C$10))/C9</f>
        <v>0.72092126317045069</v>
      </c>
      <c r="F9" s="5"/>
      <c r="G9" s="4">
        <f>MATCH(B9,'Points Summary'!$B$4:$B$673,0)</f>
        <v>54</v>
      </c>
    </row>
    <row r="10" spans="1:7" x14ac:dyDescent="0.2">
      <c r="A10" s="4">
        <v>47</v>
      </c>
      <c r="B10" s="5" t="s">
        <v>451</v>
      </c>
      <c r="C10" s="60">
        <v>3.4568287037037036E-2</v>
      </c>
      <c r="D10" s="6">
        <f>INDEX('Points Summary'!$F$4:$F$672,G10)</f>
        <v>70.481290318598795</v>
      </c>
      <c r="E10" s="67">
        <f>(AVERAGE($D$8:$D$10)/100*AVERAGE($C$8:$C$10))/C10</f>
        <v>0.75809335093562613</v>
      </c>
      <c r="F10" s="5"/>
      <c r="G10" s="4">
        <f>MATCH(B10,'Points Summary'!$B$4:$B$673,0)</f>
        <v>85</v>
      </c>
    </row>
    <row r="11" spans="1:7" x14ac:dyDescent="0.2">
      <c r="A11" s="4"/>
      <c r="B11" s="5"/>
      <c r="C11" s="60"/>
      <c r="D11" s="6"/>
      <c r="E11" s="67"/>
      <c r="F11" s="5"/>
      <c r="G11" s="4"/>
    </row>
    <row r="12" spans="1:7" x14ac:dyDescent="0.2">
      <c r="A12" s="63"/>
      <c r="B12" s="5"/>
      <c r="C12" s="60"/>
      <c r="D12" s="6"/>
      <c r="E12" s="41"/>
      <c r="F12" s="5"/>
      <c r="G12" s="4"/>
    </row>
    <row r="13" spans="1:7" x14ac:dyDescent="0.2">
      <c r="A13" s="4"/>
      <c r="B13" s="5"/>
      <c r="C13" s="60"/>
      <c r="D13" s="6"/>
      <c r="E13" s="41"/>
      <c r="F13" s="5"/>
      <c r="G13" s="4"/>
    </row>
    <row r="14" spans="1:7" x14ac:dyDescent="0.2">
      <c r="A14" s="63"/>
      <c r="B14" s="5"/>
      <c r="C14" s="60"/>
      <c r="D14" s="6"/>
      <c r="E14" s="41"/>
      <c r="F14" s="5"/>
      <c r="G14" s="4"/>
    </row>
    <row r="15" spans="1:7" x14ac:dyDescent="0.2">
      <c r="A15" s="63"/>
      <c r="B15" s="5"/>
      <c r="C15" s="60"/>
      <c r="D15" s="6"/>
      <c r="E15" s="41"/>
      <c r="F15" s="5"/>
      <c r="G15" s="4"/>
    </row>
    <row r="16" spans="1:7" x14ac:dyDescent="0.2">
      <c r="A16" s="63"/>
    </row>
    <row r="17" spans="1:1" x14ac:dyDescent="0.2">
      <c r="A17" s="63"/>
    </row>
    <row r="18" spans="1:1" x14ac:dyDescent="0.2">
      <c r="A18" s="63"/>
    </row>
    <row r="19" spans="1:1" x14ac:dyDescent="0.2">
      <c r="A19" s="63"/>
    </row>
    <row r="20" spans="1:1" x14ac:dyDescent="0.2">
      <c r="A20" s="63"/>
    </row>
    <row r="21" spans="1:1" x14ac:dyDescent="0.2">
      <c r="A21" s="63"/>
    </row>
    <row r="22" spans="1:1" x14ac:dyDescent="0.2">
      <c r="A22" s="63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  <oddFooter>&amp;L&amp;"Tahoma,Bold"&amp;11U.S. Biathlon Association&amp;R&amp;"Tahoma,Bold"&amp;11 2017 Race Points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105"/>
  <sheetViews>
    <sheetView workbookViewId="0">
      <selection activeCell="B10" sqref="B10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5" x14ac:dyDescent="0.2">
      <c r="A1" s="29" t="s">
        <v>10</v>
      </c>
      <c r="B1" s="30" t="s">
        <v>449</v>
      </c>
      <c r="C1" s="31"/>
      <c r="D1" s="31"/>
      <c r="E1" s="31"/>
      <c r="F1" s="31"/>
      <c r="G1" s="32"/>
    </row>
    <row r="2" spans="1:15" x14ac:dyDescent="0.2">
      <c r="A2" s="33" t="s">
        <v>11</v>
      </c>
      <c r="B2" s="34">
        <v>43134</v>
      </c>
      <c r="C2" s="35"/>
      <c r="D2" s="35"/>
      <c r="E2" s="35"/>
      <c r="F2" s="35"/>
      <c r="G2" s="36"/>
    </row>
    <row r="3" spans="1:15" x14ac:dyDescent="0.2">
      <c r="A3" s="33" t="s">
        <v>12</v>
      </c>
      <c r="B3" s="37" t="s">
        <v>19</v>
      </c>
      <c r="C3" s="35"/>
      <c r="D3" s="35"/>
      <c r="E3" s="35"/>
      <c r="F3" s="35"/>
      <c r="G3" s="36"/>
      <c r="J3" s="152"/>
      <c r="K3" s="152"/>
      <c r="L3" s="152"/>
      <c r="M3" s="152"/>
      <c r="N3" s="152"/>
      <c r="O3" s="152"/>
    </row>
    <row r="4" spans="1:15" x14ac:dyDescent="0.2">
      <c r="A4" s="33" t="s">
        <v>1</v>
      </c>
      <c r="B4" s="37" t="s">
        <v>73</v>
      </c>
      <c r="C4" s="35"/>
      <c r="D4" s="35"/>
      <c r="E4" s="35"/>
      <c r="F4" s="35"/>
      <c r="G4" s="36"/>
      <c r="J4" s="152"/>
      <c r="K4" s="152"/>
      <c r="L4" s="152"/>
      <c r="M4" s="152"/>
      <c r="N4" s="152"/>
      <c r="O4" s="152"/>
    </row>
    <row r="5" spans="1:15" x14ac:dyDescent="0.2">
      <c r="A5" s="33" t="s">
        <v>14</v>
      </c>
      <c r="B5" s="37" t="s">
        <v>450</v>
      </c>
      <c r="C5" s="35"/>
      <c r="D5" s="35"/>
      <c r="E5" s="35" t="s">
        <v>28</v>
      </c>
      <c r="F5" s="52">
        <f>AVERAGE(C8:C10)*(AVERAGE(D8:D10)/100)</f>
        <v>1.5398286968502683E-2</v>
      </c>
      <c r="G5" s="36"/>
      <c r="J5" s="152"/>
      <c r="K5" s="152"/>
      <c r="L5" s="152"/>
      <c r="M5" s="152"/>
      <c r="N5" s="152"/>
      <c r="O5" s="152"/>
    </row>
    <row r="6" spans="1:15" x14ac:dyDescent="0.2">
      <c r="A6" s="38" t="s">
        <v>15</v>
      </c>
      <c r="B6" s="28"/>
      <c r="C6" s="28"/>
      <c r="D6" s="28"/>
      <c r="E6" s="28"/>
      <c r="F6" s="28"/>
      <c r="G6" s="39"/>
      <c r="J6" s="152"/>
      <c r="K6" s="152"/>
      <c r="L6" s="152"/>
      <c r="M6" s="152"/>
      <c r="N6" s="152"/>
      <c r="O6" s="152"/>
    </row>
    <row r="7" spans="1:15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152"/>
      <c r="K7" s="152"/>
      <c r="L7" s="152"/>
      <c r="M7" s="152"/>
      <c r="N7" s="152"/>
      <c r="O7" s="152"/>
    </row>
    <row r="8" spans="1:15" x14ac:dyDescent="0.2">
      <c r="A8" s="4">
        <v>86</v>
      </c>
      <c r="B8" s="5" t="s">
        <v>245</v>
      </c>
      <c r="C8" s="60">
        <v>2.2462962962962962E-2</v>
      </c>
      <c r="D8" s="6">
        <f>INDEX('Points Summary'!$F$4:$F$672,G8)</f>
        <v>74.046015962152183</v>
      </c>
      <c r="E8" s="41">
        <f>(AVERAGE($D$8:$D$10)/100*AVERAGE($C$8:$C$10))/C8</f>
        <v>0.6854966993397732</v>
      </c>
      <c r="F8" s="5"/>
      <c r="G8" s="4">
        <f>MATCH(B8,'Points Summary'!$B$4:$B$673,0)</f>
        <v>142</v>
      </c>
      <c r="J8" s="152"/>
      <c r="K8" s="152"/>
      <c r="L8" s="152"/>
      <c r="M8" s="152"/>
      <c r="N8" s="152"/>
      <c r="O8" s="152"/>
    </row>
    <row r="9" spans="1:15" x14ac:dyDescent="0.2">
      <c r="A9" s="4">
        <v>77</v>
      </c>
      <c r="B9" s="5" t="s">
        <v>242</v>
      </c>
      <c r="C9" s="60">
        <v>2.162384259259259E-2</v>
      </c>
      <c r="D9" s="6">
        <f>INDEX('Points Summary'!$F$4:$F$672,G9)</f>
        <v>70.939536977561588</v>
      </c>
      <c r="E9" s="41">
        <f t="shared" ref="E9:E10" si="0">(AVERAGE($D$8:$D$10)/100*AVERAGE($C$8:$C$10))/C9</f>
        <v>0.71209762569107315</v>
      </c>
      <c r="F9" s="5"/>
      <c r="G9" s="4">
        <f>MATCH(B9,'Points Summary'!$B$4:$B$673,0)</f>
        <v>54</v>
      </c>
      <c r="J9" s="152"/>
      <c r="K9" s="152"/>
      <c r="L9" s="152"/>
      <c r="M9" s="152"/>
      <c r="N9" s="152"/>
      <c r="O9" s="152"/>
    </row>
    <row r="10" spans="1:15" x14ac:dyDescent="0.2">
      <c r="A10" s="4">
        <v>56</v>
      </c>
      <c r="B10" s="5" t="s">
        <v>451</v>
      </c>
      <c r="C10" s="60">
        <v>2.0231481481481482E-2</v>
      </c>
      <c r="D10" s="6">
        <f>INDEX('Points Summary'!$F$4:$F$672,G10)</f>
        <v>70.481290318598795</v>
      </c>
      <c r="E10" s="41">
        <f t="shared" si="0"/>
        <v>0.76110525977038435</v>
      </c>
      <c r="F10" s="5"/>
      <c r="G10" s="4">
        <f>MATCH(B10,'Points Summary'!$B$4:$B$673,0)</f>
        <v>85</v>
      </c>
      <c r="J10" s="152"/>
      <c r="K10" s="152"/>
      <c r="L10" s="152"/>
      <c r="M10" s="152"/>
      <c r="N10" s="152"/>
      <c r="O10" s="152"/>
    </row>
    <row r="11" spans="1:15" x14ac:dyDescent="0.2">
      <c r="A11" s="4"/>
      <c r="B11" s="5"/>
      <c r="C11" s="60"/>
      <c r="D11" s="6"/>
      <c r="E11" s="41"/>
      <c r="F11" s="5"/>
      <c r="G11" s="4"/>
      <c r="J11" s="152"/>
      <c r="K11" s="152"/>
      <c r="L11" s="152"/>
      <c r="M11" s="152"/>
      <c r="N11" s="152"/>
      <c r="O11" s="152"/>
    </row>
    <row r="12" spans="1:15" x14ac:dyDescent="0.2">
      <c r="A12" s="4"/>
      <c r="B12" s="5"/>
      <c r="C12" s="40"/>
      <c r="D12" s="6"/>
      <c r="E12" s="41"/>
      <c r="F12" s="5"/>
      <c r="G12" s="4"/>
      <c r="J12" s="152"/>
      <c r="K12" s="152"/>
      <c r="L12" s="152"/>
      <c r="M12" s="152"/>
      <c r="N12" s="152"/>
      <c r="O12" s="152"/>
    </row>
    <row r="13" spans="1:15" x14ac:dyDescent="0.2">
      <c r="A13" s="4"/>
      <c r="B13" s="5"/>
      <c r="C13" s="40"/>
      <c r="D13" s="6"/>
      <c r="E13" s="41"/>
      <c r="F13" s="5"/>
      <c r="G13" s="4"/>
      <c r="J13" s="152"/>
      <c r="K13" s="152"/>
      <c r="L13" s="152"/>
      <c r="M13" s="152"/>
      <c r="N13" s="152"/>
      <c r="O13" s="152"/>
    </row>
    <row r="14" spans="1:15" x14ac:dyDescent="0.2">
      <c r="A14" s="4"/>
      <c r="B14" s="5"/>
      <c r="C14" s="40"/>
      <c r="D14" s="6"/>
      <c r="E14" s="41"/>
      <c r="F14" s="5"/>
      <c r="G14" s="4"/>
      <c r="J14" s="152"/>
      <c r="K14" s="152"/>
      <c r="L14" s="152"/>
      <c r="M14" s="152"/>
      <c r="N14" s="152"/>
      <c r="O14" s="152"/>
    </row>
    <row r="15" spans="1:15" x14ac:dyDescent="0.2">
      <c r="A15" s="4"/>
      <c r="B15" s="5"/>
      <c r="C15" s="40"/>
      <c r="D15" s="6"/>
      <c r="E15" s="41"/>
      <c r="F15" s="5"/>
      <c r="G15" s="4"/>
      <c r="J15" s="152"/>
      <c r="K15" s="152"/>
      <c r="L15" s="152"/>
      <c r="M15" s="152"/>
      <c r="N15" s="152"/>
      <c r="O15" s="152"/>
    </row>
    <row r="16" spans="1:15" x14ac:dyDescent="0.2">
      <c r="A16" s="4"/>
      <c r="C16" s="40"/>
      <c r="D16" s="6"/>
      <c r="E16" s="41"/>
      <c r="F16" s="5"/>
      <c r="G16" s="4"/>
      <c r="J16" s="152"/>
      <c r="K16" s="152"/>
      <c r="L16" s="152"/>
      <c r="M16" s="152"/>
      <c r="N16" s="152"/>
      <c r="O16" s="152"/>
    </row>
    <row r="17" spans="1:15" x14ac:dyDescent="0.2">
      <c r="A17" s="4"/>
      <c r="C17" s="40"/>
      <c r="D17" s="6"/>
      <c r="E17" s="41"/>
      <c r="F17" s="5"/>
      <c r="G17" s="4"/>
      <c r="J17" s="152"/>
      <c r="K17" s="152"/>
      <c r="L17" s="152"/>
      <c r="M17" s="152"/>
      <c r="N17" s="152"/>
      <c r="O17" s="152"/>
    </row>
    <row r="18" spans="1:15" x14ac:dyDescent="0.2">
      <c r="C18" s="40"/>
      <c r="D18" s="6"/>
      <c r="E18" s="41"/>
      <c r="F18" s="5"/>
      <c r="G18" s="4"/>
      <c r="J18" s="152"/>
      <c r="K18" s="152"/>
      <c r="L18" s="152"/>
      <c r="M18" s="152"/>
      <c r="N18" s="152"/>
      <c r="O18" s="152"/>
    </row>
    <row r="19" spans="1:15" x14ac:dyDescent="0.2">
      <c r="B19" s="5"/>
      <c r="J19" s="152"/>
      <c r="K19" s="152"/>
      <c r="L19" s="152"/>
      <c r="M19" s="152"/>
      <c r="N19" s="152"/>
      <c r="O19" s="152"/>
    </row>
    <row r="20" spans="1:15" x14ac:dyDescent="0.2">
      <c r="B20" s="5"/>
      <c r="J20" s="152"/>
      <c r="K20" s="152"/>
      <c r="L20" s="152"/>
      <c r="M20" s="152"/>
      <c r="N20" s="152"/>
      <c r="O20" s="152"/>
    </row>
    <row r="21" spans="1:15" x14ac:dyDescent="0.2">
      <c r="J21" s="152"/>
      <c r="K21" s="152"/>
      <c r="L21" s="152"/>
      <c r="M21" s="152"/>
      <c r="N21" s="152"/>
      <c r="O21" s="152"/>
    </row>
    <row r="22" spans="1:15" x14ac:dyDescent="0.2">
      <c r="J22" s="152"/>
      <c r="K22" s="152"/>
      <c r="L22" s="152"/>
      <c r="M22" s="152"/>
      <c r="N22" s="152"/>
      <c r="O22" s="152"/>
    </row>
    <row r="23" spans="1:15" x14ac:dyDescent="0.2">
      <c r="J23" s="152"/>
      <c r="K23" s="152"/>
      <c r="L23" s="152"/>
      <c r="M23" s="152"/>
      <c r="N23" s="152"/>
      <c r="O23" s="152"/>
    </row>
    <row r="24" spans="1:15" x14ac:dyDescent="0.2">
      <c r="J24" s="152"/>
      <c r="K24" s="152"/>
      <c r="L24" s="152"/>
      <c r="M24" s="152"/>
      <c r="N24" s="152"/>
      <c r="O24" s="152"/>
    </row>
    <row r="25" spans="1:15" x14ac:dyDescent="0.2">
      <c r="J25" s="152"/>
      <c r="K25" s="152"/>
      <c r="L25" s="152"/>
      <c r="M25" s="152"/>
      <c r="N25" s="152"/>
      <c r="O25" s="152"/>
    </row>
    <row r="26" spans="1:15" x14ac:dyDescent="0.2">
      <c r="J26" s="152"/>
      <c r="K26" s="152"/>
      <c r="L26" s="152"/>
      <c r="M26" s="152"/>
      <c r="N26" s="152"/>
      <c r="O26" s="152"/>
    </row>
    <row r="27" spans="1:15" x14ac:dyDescent="0.2">
      <c r="J27" s="152"/>
      <c r="K27" s="152"/>
      <c r="L27" s="152"/>
      <c r="M27" s="152"/>
      <c r="N27" s="152"/>
      <c r="O27" s="152"/>
    </row>
    <row r="28" spans="1:15" x14ac:dyDescent="0.2">
      <c r="J28" s="152"/>
      <c r="K28" s="152"/>
      <c r="L28" s="152"/>
      <c r="M28" s="152"/>
      <c r="N28" s="152"/>
      <c r="O28" s="152"/>
    </row>
    <row r="29" spans="1:15" x14ac:dyDescent="0.2">
      <c r="J29" s="152"/>
      <c r="K29" s="152"/>
      <c r="L29" s="152"/>
      <c r="M29" s="152"/>
      <c r="N29" s="152"/>
      <c r="O29" s="152"/>
    </row>
    <row r="30" spans="1:15" x14ac:dyDescent="0.2">
      <c r="J30" s="152"/>
      <c r="K30" s="152"/>
      <c r="L30" s="152"/>
      <c r="M30" s="152"/>
      <c r="N30" s="152"/>
      <c r="O30" s="152"/>
    </row>
    <row r="31" spans="1:15" x14ac:dyDescent="0.2">
      <c r="J31" s="152"/>
      <c r="K31" s="152"/>
      <c r="L31" s="152"/>
      <c r="M31" s="152"/>
      <c r="N31" s="152"/>
      <c r="O31" s="152"/>
    </row>
    <row r="32" spans="1:15" x14ac:dyDescent="0.2">
      <c r="J32" s="152"/>
      <c r="K32" s="152"/>
      <c r="L32" s="152"/>
      <c r="M32" s="152"/>
      <c r="N32" s="152"/>
      <c r="O32" s="152"/>
    </row>
    <row r="33" spans="10:15" x14ac:dyDescent="0.2">
      <c r="J33" s="152"/>
      <c r="K33" s="152"/>
      <c r="L33" s="152"/>
      <c r="M33" s="152"/>
      <c r="N33" s="152"/>
      <c r="O33" s="152"/>
    </row>
    <row r="34" spans="10:15" x14ac:dyDescent="0.2">
      <c r="J34" s="152"/>
      <c r="K34" s="152"/>
      <c r="L34" s="152"/>
      <c r="M34" s="152"/>
      <c r="N34" s="152"/>
      <c r="O34" s="152"/>
    </row>
    <row r="35" spans="10:15" x14ac:dyDescent="0.2">
      <c r="J35" s="152"/>
      <c r="K35" s="152"/>
      <c r="L35" s="152"/>
      <c r="M35" s="152"/>
      <c r="N35" s="152"/>
      <c r="O35" s="152"/>
    </row>
    <row r="36" spans="10:15" x14ac:dyDescent="0.2">
      <c r="J36" s="152"/>
      <c r="K36" s="152"/>
      <c r="L36" s="152"/>
      <c r="M36" s="152"/>
      <c r="N36" s="152"/>
      <c r="O36" s="152"/>
    </row>
    <row r="37" spans="10:15" x14ac:dyDescent="0.2">
      <c r="J37" s="152"/>
      <c r="K37" s="152"/>
      <c r="L37" s="152"/>
      <c r="M37" s="152"/>
      <c r="N37" s="152"/>
      <c r="O37" s="152"/>
    </row>
    <row r="38" spans="10:15" x14ac:dyDescent="0.2">
      <c r="J38" s="152"/>
      <c r="K38" s="152"/>
      <c r="L38" s="152"/>
      <c r="M38" s="152"/>
      <c r="N38" s="152"/>
      <c r="O38" s="152"/>
    </row>
    <row r="39" spans="10:15" x14ac:dyDescent="0.2">
      <c r="J39" s="152"/>
      <c r="K39" s="152"/>
      <c r="L39" s="152"/>
      <c r="M39" s="152"/>
      <c r="N39" s="152"/>
      <c r="O39" s="152"/>
    </row>
    <row r="40" spans="10:15" x14ac:dyDescent="0.2">
      <c r="J40" s="152"/>
      <c r="K40" s="152"/>
      <c r="L40" s="152"/>
      <c r="M40" s="152"/>
      <c r="N40" s="152"/>
      <c r="O40" s="152"/>
    </row>
    <row r="41" spans="10:15" x14ac:dyDescent="0.2">
      <c r="J41" s="152"/>
      <c r="K41" s="152"/>
      <c r="L41" s="152"/>
      <c r="M41" s="152"/>
      <c r="N41" s="152"/>
      <c r="O41" s="152"/>
    </row>
    <row r="42" spans="10:15" x14ac:dyDescent="0.2">
      <c r="J42" s="152"/>
      <c r="K42" s="152"/>
      <c r="L42" s="152"/>
      <c r="M42" s="152"/>
      <c r="N42" s="152"/>
      <c r="O42" s="152"/>
    </row>
    <row r="43" spans="10:15" x14ac:dyDescent="0.2">
      <c r="J43" s="152"/>
      <c r="K43" s="152"/>
      <c r="L43" s="152"/>
      <c r="M43" s="152"/>
      <c r="N43" s="152"/>
      <c r="O43" s="152"/>
    </row>
    <row r="44" spans="10:15" x14ac:dyDescent="0.2">
      <c r="J44" s="152"/>
      <c r="K44" s="152"/>
      <c r="L44" s="152"/>
      <c r="M44" s="152"/>
      <c r="N44" s="152"/>
      <c r="O44" s="152"/>
    </row>
    <row r="45" spans="10:15" x14ac:dyDescent="0.2">
      <c r="J45" s="152"/>
      <c r="K45" s="152"/>
      <c r="L45" s="152"/>
      <c r="M45" s="152"/>
      <c r="N45" s="152"/>
      <c r="O45" s="152"/>
    </row>
    <row r="46" spans="10:15" x14ac:dyDescent="0.2">
      <c r="J46" s="152"/>
      <c r="K46" s="152"/>
      <c r="L46" s="152"/>
      <c r="M46" s="152"/>
      <c r="N46" s="152"/>
      <c r="O46" s="152"/>
    </row>
    <row r="47" spans="10:15" x14ac:dyDescent="0.2">
      <c r="J47" s="152"/>
      <c r="K47" s="152"/>
      <c r="L47" s="152"/>
      <c r="M47" s="152"/>
      <c r="N47" s="152"/>
      <c r="O47" s="152"/>
    </row>
    <row r="48" spans="10:15" x14ac:dyDescent="0.2">
      <c r="J48" s="152"/>
      <c r="K48" s="152"/>
      <c r="L48" s="152"/>
      <c r="M48" s="152"/>
      <c r="N48" s="152"/>
      <c r="O48" s="152"/>
    </row>
    <row r="49" spans="10:15" x14ac:dyDescent="0.2">
      <c r="J49" s="152"/>
      <c r="K49" s="152"/>
      <c r="L49" s="152"/>
      <c r="M49" s="152"/>
      <c r="N49" s="152"/>
      <c r="O49" s="152"/>
    </row>
    <row r="50" spans="10:15" x14ac:dyDescent="0.2">
      <c r="J50" s="152"/>
      <c r="K50" s="152"/>
      <c r="L50" s="152"/>
      <c r="M50" s="152"/>
      <c r="N50" s="152"/>
      <c r="O50" s="152"/>
    </row>
    <row r="51" spans="10:15" x14ac:dyDescent="0.2">
      <c r="J51" s="152"/>
      <c r="K51" s="152"/>
      <c r="L51" s="152"/>
      <c r="M51" s="152"/>
      <c r="N51" s="152"/>
      <c r="O51" s="152"/>
    </row>
    <row r="52" spans="10:15" x14ac:dyDescent="0.2">
      <c r="J52" s="152"/>
      <c r="K52" s="152"/>
      <c r="L52" s="152"/>
      <c r="M52" s="152"/>
      <c r="N52" s="152"/>
      <c r="O52" s="152"/>
    </row>
    <row r="53" spans="10:15" x14ac:dyDescent="0.2">
      <c r="J53" s="152"/>
      <c r="K53" s="152"/>
      <c r="L53" s="152"/>
      <c r="M53" s="152"/>
      <c r="N53" s="152"/>
      <c r="O53" s="152"/>
    </row>
    <row r="54" spans="10:15" x14ac:dyDescent="0.2">
      <c r="J54" s="152"/>
      <c r="K54" s="152"/>
      <c r="L54" s="152"/>
      <c r="M54" s="152"/>
      <c r="N54" s="152"/>
      <c r="O54" s="152"/>
    </row>
    <row r="55" spans="10:15" x14ac:dyDescent="0.2">
      <c r="J55" s="152"/>
      <c r="K55" s="152"/>
      <c r="L55" s="152"/>
      <c r="M55" s="152"/>
      <c r="N55" s="152"/>
      <c r="O55" s="152"/>
    </row>
    <row r="56" spans="10:15" x14ac:dyDescent="0.2">
      <c r="J56" s="152"/>
      <c r="K56" s="152"/>
      <c r="L56" s="152"/>
      <c r="M56" s="152"/>
      <c r="N56" s="152"/>
      <c r="O56" s="152"/>
    </row>
    <row r="57" spans="10:15" x14ac:dyDescent="0.2">
      <c r="J57" s="152"/>
      <c r="K57" s="152"/>
      <c r="L57" s="152"/>
      <c r="M57" s="152"/>
      <c r="N57" s="152"/>
      <c r="O57" s="152"/>
    </row>
    <row r="58" spans="10:15" x14ac:dyDescent="0.2">
      <c r="J58" s="152"/>
      <c r="K58" s="152"/>
      <c r="L58" s="152"/>
      <c r="M58" s="152"/>
      <c r="N58" s="152"/>
      <c r="O58" s="152"/>
    </row>
    <row r="59" spans="10:15" x14ac:dyDescent="0.2">
      <c r="J59" s="152"/>
      <c r="K59" s="152"/>
      <c r="L59" s="152"/>
      <c r="M59" s="152"/>
      <c r="N59" s="152"/>
      <c r="O59" s="152"/>
    </row>
    <row r="60" spans="10:15" x14ac:dyDescent="0.2">
      <c r="J60" s="152"/>
      <c r="K60" s="152"/>
      <c r="L60" s="152"/>
      <c r="M60" s="152"/>
      <c r="N60" s="152"/>
      <c r="O60" s="152"/>
    </row>
    <row r="61" spans="10:15" x14ac:dyDescent="0.2">
      <c r="J61" s="152"/>
      <c r="K61" s="152"/>
      <c r="L61" s="152"/>
      <c r="M61" s="152"/>
      <c r="N61" s="152"/>
      <c r="O61" s="152"/>
    </row>
    <row r="62" spans="10:15" x14ac:dyDescent="0.2">
      <c r="J62" s="152"/>
      <c r="K62" s="152"/>
      <c r="L62" s="152"/>
      <c r="M62" s="152"/>
      <c r="N62" s="152"/>
      <c r="O62" s="152"/>
    </row>
    <row r="63" spans="10:15" x14ac:dyDescent="0.2">
      <c r="J63" s="152"/>
      <c r="K63" s="152"/>
      <c r="L63" s="152"/>
      <c r="M63" s="152"/>
      <c r="N63" s="152"/>
      <c r="O63" s="152"/>
    </row>
    <row r="64" spans="10:15" x14ac:dyDescent="0.2">
      <c r="J64" s="152"/>
      <c r="K64" s="152"/>
      <c r="L64" s="152"/>
      <c r="M64" s="152"/>
      <c r="N64" s="152"/>
      <c r="O64" s="152"/>
    </row>
    <row r="65" spans="10:15" x14ac:dyDescent="0.2">
      <c r="J65" s="152"/>
      <c r="K65" s="152"/>
      <c r="L65" s="152"/>
      <c r="M65" s="152"/>
      <c r="N65" s="152"/>
      <c r="O65" s="152"/>
    </row>
    <row r="66" spans="10:15" x14ac:dyDescent="0.2">
      <c r="J66" s="152"/>
      <c r="K66" s="152"/>
      <c r="L66" s="152"/>
      <c r="M66" s="152"/>
      <c r="N66" s="152"/>
      <c r="O66" s="152"/>
    </row>
    <row r="67" spans="10:15" x14ac:dyDescent="0.2">
      <c r="J67" s="152"/>
      <c r="K67" s="152"/>
      <c r="L67" s="152"/>
      <c r="M67" s="152"/>
      <c r="N67" s="152"/>
      <c r="O67" s="152"/>
    </row>
    <row r="68" spans="10:15" x14ac:dyDescent="0.2">
      <c r="J68" s="152"/>
      <c r="K68" s="152"/>
      <c r="L68" s="152"/>
      <c r="M68" s="152"/>
      <c r="N68" s="152"/>
      <c r="O68" s="152"/>
    </row>
    <row r="69" spans="10:15" x14ac:dyDescent="0.2">
      <c r="J69" s="152"/>
      <c r="K69" s="152"/>
      <c r="L69" s="152"/>
      <c r="M69" s="152"/>
      <c r="N69" s="152"/>
      <c r="O69" s="152"/>
    </row>
    <row r="70" spans="10:15" x14ac:dyDescent="0.2">
      <c r="J70" s="152"/>
      <c r="K70" s="152"/>
      <c r="L70" s="152"/>
      <c r="M70" s="152"/>
      <c r="N70" s="152"/>
      <c r="O70" s="152"/>
    </row>
    <row r="71" spans="10:15" x14ac:dyDescent="0.2">
      <c r="J71" s="152"/>
      <c r="K71" s="152"/>
      <c r="L71" s="152"/>
      <c r="M71" s="152"/>
      <c r="N71" s="152"/>
      <c r="O71" s="152"/>
    </row>
    <row r="72" spans="10:15" x14ac:dyDescent="0.2">
      <c r="J72" s="152"/>
      <c r="K72" s="152"/>
      <c r="L72" s="152"/>
      <c r="M72" s="152"/>
      <c r="N72" s="152"/>
      <c r="O72" s="152"/>
    </row>
    <row r="73" spans="10:15" x14ac:dyDescent="0.2">
      <c r="J73" s="152"/>
      <c r="K73" s="152"/>
      <c r="L73" s="152"/>
      <c r="M73" s="152"/>
      <c r="N73" s="152"/>
      <c r="O73" s="152"/>
    </row>
    <row r="74" spans="10:15" x14ac:dyDescent="0.2">
      <c r="J74" s="152"/>
      <c r="K74" s="152"/>
      <c r="L74" s="152"/>
      <c r="M74" s="152"/>
      <c r="N74" s="152"/>
      <c r="O74" s="152"/>
    </row>
    <row r="75" spans="10:15" x14ac:dyDescent="0.2">
      <c r="J75" s="152"/>
      <c r="K75" s="152"/>
      <c r="L75" s="152"/>
      <c r="M75" s="152"/>
      <c r="N75" s="152"/>
      <c r="O75" s="152"/>
    </row>
    <row r="76" spans="10:15" x14ac:dyDescent="0.2">
      <c r="J76" s="152"/>
      <c r="K76" s="152"/>
      <c r="L76" s="152"/>
      <c r="M76" s="152"/>
      <c r="N76" s="152"/>
      <c r="O76" s="152"/>
    </row>
    <row r="77" spans="10:15" x14ac:dyDescent="0.2">
      <c r="J77" s="152"/>
      <c r="K77" s="152"/>
      <c r="L77" s="152"/>
      <c r="M77" s="152"/>
      <c r="N77" s="152"/>
      <c r="O77" s="152"/>
    </row>
    <row r="78" spans="10:15" x14ac:dyDescent="0.2">
      <c r="J78" s="152"/>
      <c r="K78" s="152"/>
      <c r="L78" s="152"/>
      <c r="M78" s="152"/>
      <c r="N78" s="152"/>
      <c r="O78" s="152"/>
    </row>
    <row r="79" spans="10:15" x14ac:dyDescent="0.2">
      <c r="J79" s="152"/>
      <c r="K79" s="152"/>
      <c r="L79" s="152"/>
      <c r="M79" s="152"/>
      <c r="N79" s="152"/>
      <c r="O79" s="152"/>
    </row>
    <row r="80" spans="10:15" x14ac:dyDescent="0.2">
      <c r="J80" s="152"/>
      <c r="K80" s="152"/>
      <c r="L80" s="152"/>
      <c r="M80" s="152"/>
      <c r="N80" s="152"/>
      <c r="O80" s="152"/>
    </row>
    <row r="81" spans="10:15" x14ac:dyDescent="0.2">
      <c r="J81" s="152"/>
      <c r="K81" s="152"/>
      <c r="L81" s="152"/>
      <c r="M81" s="152"/>
      <c r="N81" s="152"/>
      <c r="O81" s="152"/>
    </row>
    <row r="82" spans="10:15" x14ac:dyDescent="0.2">
      <c r="J82" s="152"/>
      <c r="K82" s="152"/>
      <c r="L82" s="152"/>
      <c r="M82" s="152"/>
      <c r="N82" s="152"/>
      <c r="O82" s="152"/>
    </row>
    <row r="83" spans="10:15" x14ac:dyDescent="0.2">
      <c r="J83" s="152"/>
      <c r="K83" s="152"/>
      <c r="L83" s="152"/>
      <c r="M83" s="152"/>
      <c r="N83" s="152"/>
      <c r="O83" s="152"/>
    </row>
    <row r="84" spans="10:15" x14ac:dyDescent="0.2">
      <c r="J84" s="152"/>
      <c r="K84" s="152"/>
      <c r="L84" s="152"/>
      <c r="M84" s="152"/>
      <c r="N84" s="152"/>
      <c r="O84" s="152"/>
    </row>
    <row r="85" spans="10:15" x14ac:dyDescent="0.2">
      <c r="J85" s="152"/>
      <c r="K85" s="152"/>
      <c r="L85" s="152"/>
      <c r="M85" s="152"/>
      <c r="N85" s="152"/>
      <c r="O85" s="152"/>
    </row>
    <row r="86" spans="10:15" x14ac:dyDescent="0.2">
      <c r="J86" s="152"/>
      <c r="K86" s="152"/>
      <c r="L86" s="152"/>
      <c r="M86" s="152"/>
      <c r="N86" s="152"/>
      <c r="O86" s="152"/>
    </row>
    <row r="87" spans="10:15" x14ac:dyDescent="0.2">
      <c r="J87" s="154"/>
      <c r="K87" s="152"/>
      <c r="L87" s="152"/>
      <c r="M87" s="152"/>
      <c r="N87" s="152"/>
      <c r="O87" s="152"/>
    </row>
    <row r="88" spans="10:15" x14ac:dyDescent="0.2">
      <c r="K88" s="152"/>
      <c r="L88" s="152"/>
      <c r="M88" s="152"/>
      <c r="N88" s="152"/>
      <c r="O88" s="152"/>
    </row>
    <row r="89" spans="10:15" x14ac:dyDescent="0.2">
      <c r="K89" s="152"/>
      <c r="L89" s="152"/>
      <c r="M89" s="152"/>
      <c r="N89" s="152"/>
      <c r="O89" s="152"/>
    </row>
    <row r="90" spans="10:15" x14ac:dyDescent="0.2">
      <c r="K90" s="152"/>
      <c r="L90" s="152"/>
      <c r="M90" s="152"/>
      <c r="N90" s="152"/>
      <c r="O90" s="152"/>
    </row>
    <row r="91" spans="10:15" x14ac:dyDescent="0.2">
      <c r="K91" s="152"/>
      <c r="L91" s="152"/>
      <c r="M91" s="152"/>
      <c r="N91" s="152"/>
      <c r="O91" s="152"/>
    </row>
    <row r="92" spans="10:15" x14ac:dyDescent="0.2">
      <c r="K92" s="152"/>
      <c r="L92" s="152"/>
      <c r="M92" s="152"/>
      <c r="N92" s="152"/>
      <c r="O92" s="152"/>
    </row>
    <row r="93" spans="10:15" x14ac:dyDescent="0.2">
      <c r="K93" s="152"/>
      <c r="L93" s="152"/>
      <c r="M93" s="152"/>
      <c r="N93" s="152"/>
      <c r="O93" s="152"/>
    </row>
    <row r="94" spans="10:15" x14ac:dyDescent="0.2">
      <c r="K94" s="154"/>
      <c r="L94" s="152"/>
      <c r="M94" s="152"/>
      <c r="N94" s="152"/>
      <c r="O94" s="152"/>
    </row>
    <row r="95" spans="10:15" x14ac:dyDescent="0.2">
      <c r="L95" s="154"/>
      <c r="M95" s="152"/>
      <c r="N95" s="152"/>
      <c r="O95" s="152"/>
    </row>
    <row r="96" spans="10:15" x14ac:dyDescent="0.2">
      <c r="M96" s="152"/>
      <c r="N96" s="152"/>
      <c r="O96" s="152"/>
    </row>
    <row r="97" spans="13:15" x14ac:dyDescent="0.2">
      <c r="M97" s="152"/>
      <c r="N97" s="152"/>
      <c r="O97" s="152"/>
    </row>
    <row r="98" spans="13:15" x14ac:dyDescent="0.2">
      <c r="M98" s="152"/>
      <c r="N98" s="154"/>
      <c r="O98" s="152"/>
    </row>
    <row r="99" spans="13:15" x14ac:dyDescent="0.2">
      <c r="M99" s="152"/>
      <c r="O99" s="152"/>
    </row>
    <row r="100" spans="13:15" x14ac:dyDescent="0.2">
      <c r="M100" s="152"/>
      <c r="O100" s="152"/>
    </row>
    <row r="101" spans="13:15" x14ac:dyDescent="0.2">
      <c r="M101" s="152"/>
      <c r="O101" s="152"/>
    </row>
    <row r="102" spans="13:15" x14ac:dyDescent="0.2">
      <c r="M102" s="152"/>
      <c r="O102" s="152"/>
    </row>
    <row r="103" spans="13:15" x14ac:dyDescent="0.2">
      <c r="M103" s="152"/>
      <c r="O103" s="152"/>
    </row>
    <row r="104" spans="13:15" x14ac:dyDescent="0.2">
      <c r="M104" s="152"/>
      <c r="O104" s="152"/>
    </row>
    <row r="105" spans="13:15" x14ac:dyDescent="0.2">
      <c r="M105" s="154"/>
      <c r="O105" s="154"/>
    </row>
  </sheetData>
  <sortState ref="A8:D12">
    <sortCondition descending="1" ref="D8:D12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F5" sqref="F5"/>
    </sheetView>
  </sheetViews>
  <sheetFormatPr defaultRowHeight="12.75" x14ac:dyDescent="0.2"/>
  <cols>
    <col min="2" max="2" width="22.7109375" customWidth="1"/>
    <col min="3" max="7" width="9.7109375" customWidth="1"/>
  </cols>
  <sheetData>
    <row r="1" spans="1:7" x14ac:dyDescent="0.2">
      <c r="A1" s="29" t="s">
        <v>10</v>
      </c>
      <c r="B1" s="30" t="s">
        <v>266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43070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214</v>
      </c>
      <c r="C5" s="35"/>
      <c r="D5" s="35"/>
      <c r="E5" s="35" t="s">
        <v>28</v>
      </c>
      <c r="F5" s="52">
        <f>AVERAGE(C8:C10)*(AVERAGE(D8:D10)/100)</f>
        <v>1.4928674838822948E-2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5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79</v>
      </c>
      <c r="B8" s="5" t="s">
        <v>333</v>
      </c>
      <c r="C8" s="66">
        <v>1.565046296296296E-2</v>
      </c>
      <c r="D8" s="6">
        <f>INDEX('Points Summary'!$H$4:$H$672,G8)</f>
        <v>100.00151622905494</v>
      </c>
      <c r="E8" s="41">
        <f>(AVERAGE($D$8:$D$10)/100*AVERAGE($C$8:$C$10))/C8</f>
        <v>0.95388071740445424</v>
      </c>
      <c r="F8" s="5"/>
      <c r="G8" s="4">
        <f>MATCH(B8,'Points Summary'!$B$4:$B$673,0)</f>
        <v>41</v>
      </c>
    </row>
    <row r="9" spans="1:7" x14ac:dyDescent="0.2">
      <c r="A9" s="4">
        <v>75</v>
      </c>
      <c r="B9" s="5" t="s">
        <v>334</v>
      </c>
      <c r="C9" s="66">
        <v>1.5590277777777778E-2</v>
      </c>
      <c r="D9" s="6">
        <f>INDEX('Points Summary'!$H$4:$H$672,G9)</f>
        <v>95.598613577506455</v>
      </c>
      <c r="E9" s="41">
        <f>(AVERAGE($D$8:$D$10)/100*AVERAGE($C$8:$C$10))/C9</f>
        <v>0.95756310770178377</v>
      </c>
      <c r="F9" s="5"/>
      <c r="G9" s="4">
        <f>MATCH(B9,'Points Summary'!$B$4:$B$673,0)</f>
        <v>42</v>
      </c>
    </row>
    <row r="10" spans="1:7" x14ac:dyDescent="0.2">
      <c r="A10" s="4">
        <v>89</v>
      </c>
      <c r="B10" s="5" t="s">
        <v>248</v>
      </c>
      <c r="C10" s="66">
        <v>1.5925925925925927E-2</v>
      </c>
      <c r="D10" s="6">
        <f>INDEX('Points Summary'!$H$4:$H$672,G10)</f>
        <v>89.257976658611497</v>
      </c>
      <c r="E10" s="41">
        <f>(AVERAGE($D$8:$D$10)/100*AVERAGE($C$8:$C$10))/C10</f>
        <v>0.93738190848423153</v>
      </c>
      <c r="F10" s="5"/>
      <c r="G10" s="4">
        <f>MATCH(B10,'Points Summary'!$B$4:$B$673,0)</f>
        <v>40</v>
      </c>
    </row>
    <row r="11" spans="1:7" x14ac:dyDescent="0.2">
      <c r="A11" s="4"/>
      <c r="B11" s="5"/>
      <c r="C11" s="66"/>
      <c r="D11" s="6"/>
      <c r="E11" s="41"/>
      <c r="F11" s="5"/>
      <c r="G11" s="4"/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B13" s="5"/>
      <c r="C13" s="40"/>
      <c r="D13" s="6"/>
      <c r="E13" s="41"/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B16" s="5"/>
      <c r="C16" s="40"/>
      <c r="D16" s="6"/>
      <c r="E16" s="41"/>
      <c r="G16" s="4"/>
    </row>
    <row r="17" spans="2:7" x14ac:dyDescent="0.2">
      <c r="B17" s="5"/>
      <c r="C17" s="40"/>
      <c r="D17" s="6"/>
      <c r="E17" s="41"/>
      <c r="G17" s="4"/>
    </row>
  </sheetData>
  <sortState ref="A8:E10">
    <sortCondition descending="1" ref="D8:D1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4"/>
  <sheetViews>
    <sheetView workbookViewId="0">
      <selection activeCell="B11" sqref="B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452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43161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23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446</v>
      </c>
      <c r="C5" s="35"/>
      <c r="D5" s="35"/>
      <c r="E5" s="35" t="s">
        <v>28</v>
      </c>
      <c r="F5" s="52">
        <f>AVERAGE(C8:C10)*(AVERAGE(D8:D10)/100)</f>
        <v>1.1388351997202841E-2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I7" s="5"/>
      <c r="J7" s="40"/>
      <c r="K7" s="41"/>
    </row>
    <row r="8" spans="1:11" x14ac:dyDescent="0.2">
      <c r="A8" s="4">
        <v>72</v>
      </c>
      <c r="B8" s="5" t="s">
        <v>245</v>
      </c>
      <c r="C8" s="40">
        <v>1.615277777777778E-2</v>
      </c>
      <c r="D8" s="6">
        <f>INDEX('Points Summary'!$F$4:$F$672,G8)</f>
        <v>74.046015962152183</v>
      </c>
      <c r="E8" s="67">
        <f>(AVERAGE($D$8:$D$10)/100*AVERAGE($C$8:$C$10))/C8</f>
        <v>0.70503984849407086</v>
      </c>
      <c r="F8" s="5"/>
      <c r="G8" s="4">
        <f>MATCH(B8,'Points Summary'!$B$4:$B$673,0)</f>
        <v>142</v>
      </c>
      <c r="I8" s="5"/>
      <c r="J8" s="40"/>
      <c r="K8" s="41"/>
    </row>
    <row r="9" spans="1:11" x14ac:dyDescent="0.2">
      <c r="A9" s="4">
        <v>55</v>
      </c>
      <c r="B9" s="5" t="s">
        <v>242</v>
      </c>
      <c r="C9" s="40">
        <v>1.5703703703703702E-2</v>
      </c>
      <c r="D9" s="6">
        <f>INDEX('Points Summary'!$F$4:$F$672,G9)</f>
        <v>70.939536977561588</v>
      </c>
      <c r="E9" s="67">
        <f t="shared" ref="E9:E11" si="0">(AVERAGE($D$8:$D$10)/100*AVERAGE($C$8:$C$10))/C9</f>
        <v>0.7252016601992376</v>
      </c>
      <c r="F9" s="5"/>
      <c r="G9" s="4">
        <f>MATCH(B9,'Points Summary'!$B$4:$B$673,0)</f>
        <v>54</v>
      </c>
      <c r="I9" s="5"/>
      <c r="J9" s="40"/>
      <c r="K9" s="41"/>
    </row>
    <row r="10" spans="1:11" x14ac:dyDescent="0.2">
      <c r="A10" s="4">
        <v>52</v>
      </c>
      <c r="B10" s="5" t="s">
        <v>243</v>
      </c>
      <c r="C10" s="40">
        <v>1.5635416666666669E-2</v>
      </c>
      <c r="D10" s="6">
        <f>INDEX('Points Summary'!$F$4:$F$672,G10)</f>
        <v>70.830558800225518</v>
      </c>
      <c r="E10" s="67">
        <f t="shared" si="0"/>
        <v>0.7283689485219671</v>
      </c>
      <c r="F10" s="5"/>
      <c r="G10" s="4">
        <f>MATCH(B10,'Points Summary'!$B$4:$B$673,0)</f>
        <v>120</v>
      </c>
      <c r="I10" s="5"/>
      <c r="J10" s="40"/>
      <c r="K10" s="41"/>
    </row>
    <row r="11" spans="1:11" x14ac:dyDescent="0.2">
      <c r="A11" s="4">
        <v>70</v>
      </c>
      <c r="B11" s="5" t="s">
        <v>451</v>
      </c>
      <c r="C11" s="40">
        <v>1.6143518518518519E-2</v>
      </c>
      <c r="D11" s="6">
        <f>INDEX('Points Summary'!$F$4:$F$672,G11)</f>
        <v>70.481290318598795</v>
      </c>
      <c r="E11" s="67">
        <f t="shared" si="0"/>
        <v>0.70544423039742288</v>
      </c>
      <c r="F11" s="5"/>
      <c r="G11" s="4">
        <f>MATCH(B11,'Points Summary'!$B$4:$B$673,0)</f>
        <v>85</v>
      </c>
      <c r="I11" s="5"/>
      <c r="J11" s="40"/>
      <c r="K11" s="41"/>
    </row>
    <row r="12" spans="1:11" x14ac:dyDescent="0.2">
      <c r="A12" s="4"/>
      <c r="B12" s="88"/>
      <c r="C12" s="40"/>
      <c r="D12" s="6"/>
      <c r="E12" s="41"/>
      <c r="F12" s="5"/>
      <c r="G12" s="4"/>
      <c r="I12" s="5"/>
      <c r="J12" s="40"/>
      <c r="K12" s="41"/>
    </row>
    <row r="13" spans="1:11" x14ac:dyDescent="0.2">
      <c r="A13" s="4"/>
      <c r="B13" s="5"/>
      <c r="C13" s="40"/>
      <c r="D13" s="6"/>
      <c r="E13" s="41"/>
      <c r="F13" s="5"/>
      <c r="G13" s="4"/>
      <c r="I13" s="5"/>
      <c r="J13" s="40"/>
      <c r="K13" s="41"/>
    </row>
    <row r="14" spans="1:11" x14ac:dyDescent="0.2">
      <c r="A14" s="4"/>
      <c r="B14" s="5"/>
      <c r="C14" s="40"/>
      <c r="D14" s="6"/>
      <c r="E14" s="41"/>
      <c r="F14" s="5"/>
      <c r="G14" s="4"/>
      <c r="I14" s="5"/>
      <c r="J14" s="40"/>
      <c r="K14" s="41"/>
    </row>
    <row r="15" spans="1:11" x14ac:dyDescent="0.2">
      <c r="A15" s="4"/>
      <c r="B15" s="5"/>
      <c r="C15" s="40"/>
      <c r="D15" s="6"/>
      <c r="E15" s="41"/>
      <c r="F15" s="5"/>
      <c r="G15" s="4"/>
      <c r="I15" s="5"/>
      <c r="J15" s="40"/>
      <c r="K15" s="41"/>
    </row>
    <row r="16" spans="1:11" x14ac:dyDescent="0.2">
      <c r="B16" s="5"/>
      <c r="C16" s="40"/>
      <c r="D16" s="6"/>
      <c r="E16" s="41"/>
      <c r="F16" s="5"/>
      <c r="G16" s="4"/>
      <c r="I16" s="5"/>
      <c r="J16" s="40"/>
      <c r="K16" s="41"/>
    </row>
    <row r="17" spans="2:11" x14ac:dyDescent="0.2">
      <c r="B17" s="5"/>
      <c r="C17" s="40"/>
      <c r="D17" s="6"/>
      <c r="E17" s="41"/>
      <c r="F17" s="5"/>
      <c r="G17" s="4"/>
      <c r="I17" s="5"/>
      <c r="J17" s="40"/>
      <c r="K17" s="41"/>
    </row>
    <row r="18" spans="2:11" x14ac:dyDescent="0.2">
      <c r="B18" s="5"/>
      <c r="C18" s="40"/>
      <c r="D18" s="6"/>
      <c r="E18" s="41"/>
      <c r="F18" s="5"/>
      <c r="G18" s="4"/>
      <c r="I18" s="5"/>
      <c r="J18" s="40"/>
      <c r="K18" s="41"/>
    </row>
    <row r="19" spans="2:11" x14ac:dyDescent="0.2">
      <c r="B19" s="5"/>
      <c r="C19" s="40"/>
      <c r="D19" s="6"/>
      <c r="E19" s="41"/>
      <c r="F19" s="5"/>
      <c r="G19" s="4"/>
    </row>
    <row r="20" spans="2:11" x14ac:dyDescent="0.2">
      <c r="B20" s="5"/>
      <c r="C20" s="40"/>
      <c r="D20" s="6"/>
      <c r="E20" s="41"/>
      <c r="F20" s="5"/>
      <c r="G20" s="4"/>
    </row>
    <row r="21" spans="2:11" x14ac:dyDescent="0.2">
      <c r="B21" s="5"/>
      <c r="C21" s="40"/>
      <c r="D21" s="6"/>
      <c r="E21" s="41"/>
      <c r="F21" s="5"/>
      <c r="G21" s="4"/>
    </row>
    <row r="22" spans="2:11" x14ac:dyDescent="0.2">
      <c r="B22" s="5"/>
      <c r="C22" s="40"/>
      <c r="D22" s="6"/>
      <c r="E22" s="41"/>
      <c r="F22" s="5"/>
      <c r="G22" s="4"/>
    </row>
    <row r="23" spans="2:11" x14ac:dyDescent="0.2">
      <c r="B23" s="5"/>
      <c r="C23" s="40"/>
      <c r="D23" s="6"/>
      <c r="E23" s="41"/>
      <c r="F23" s="5"/>
      <c r="G23" s="4"/>
    </row>
    <row r="24" spans="2:11" x14ac:dyDescent="0.2">
      <c r="B24" s="5"/>
      <c r="C24" s="40"/>
      <c r="D24" s="6"/>
      <c r="E24" s="41"/>
      <c r="F24" s="5"/>
      <c r="G24" s="4"/>
    </row>
  </sheetData>
  <sortState ref="A8:G13">
    <sortCondition descending="1" ref="D8:D13"/>
  </sortState>
  <phoneticPr fontId="0" type="noConversion"/>
  <hyperlinks>
    <hyperlink ref="B10" r:id="rId1" display="http://services.biathlonresults.com/athletes.aspx?IbuId=BTUSA22404199801" xr:uid="{00000000-0004-0000-3100-000000000000}"/>
    <hyperlink ref="B11" r:id="rId2" display="http://services.biathlonresults.com/athletes.aspx?IbuId=BTUSA22401199001" xr:uid="{00000000-0004-0000-3100-000001000000}"/>
  </hyperlinks>
  <printOptions horizontalCentered="1"/>
  <pageMargins left="0.75" right="0.75" top="1" bottom="1" header="0.5" footer="0.5"/>
  <pageSetup orientation="portrait" horizontalDpi="4294967292" verticalDpi="1200" r:id="rId3"/>
  <headerFooter alignWithMargins="0">
    <oddHeader>&amp;L&amp;"Tahoma,Bold"&amp;11U.S. Biathlon Association&amp;R&amp;"Tahoma,Bold"&amp;11 2018 Race Points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20"/>
  <sheetViews>
    <sheetView workbookViewId="0">
      <selection activeCell="D21" sqref="D2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455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43155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236</v>
      </c>
      <c r="C5" s="35"/>
      <c r="D5" s="35"/>
      <c r="E5" s="35" t="s">
        <v>28</v>
      </c>
      <c r="F5" s="52">
        <f>AVERAGE(C8:C10)*(AVERAGE(D8:D10)/100)</f>
        <v>1.4867863011306616E-2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257</v>
      </c>
      <c r="C8" s="40">
        <f>TIME(0,38,42)</f>
        <v>2.6875E-2</v>
      </c>
      <c r="D8" s="6">
        <f>INDEX('Points Summary'!$F$4:$F$672,G8)</f>
        <v>51.715521055637709</v>
      </c>
      <c r="E8" s="41">
        <f t="shared" ref="E8:E14" si="0">(AVERAGE($D$8:$D$10)/100*AVERAGE($C$8:$C$10))/C8</f>
        <v>0.55322280972303683</v>
      </c>
      <c r="F8" s="5"/>
      <c r="G8" s="4">
        <f>MATCH(B8,'Points Summary'!$B$4:$B$673,0)</f>
        <v>13</v>
      </c>
    </row>
    <row r="9" spans="1:7" x14ac:dyDescent="0.2">
      <c r="A9" s="4">
        <v>3</v>
      </c>
      <c r="B9" s="5" t="s">
        <v>65</v>
      </c>
      <c r="C9" s="40">
        <f>TIME(0,42,33)</f>
        <v>2.9548611111111109E-2</v>
      </c>
      <c r="D9" s="6">
        <f>INDEX('Points Summary'!$F$4:$F$672,G9)</f>
        <v>51.598687384929619</v>
      </c>
      <c r="E9" s="41">
        <f t="shared" si="0"/>
        <v>0.50316622176924863</v>
      </c>
      <c r="F9" s="5"/>
      <c r="G9" s="4">
        <f>MATCH(B9,'Points Summary'!$B$4:$B$673,0)</f>
        <v>141</v>
      </c>
    </row>
    <row r="10" spans="1:7" x14ac:dyDescent="0.2">
      <c r="A10" s="4">
        <v>1</v>
      </c>
      <c r="B10" s="5" t="s">
        <v>66</v>
      </c>
      <c r="C10" s="40">
        <f>TIME(0,44,51)</f>
        <v>3.1145833333333334E-2</v>
      </c>
      <c r="D10" s="6">
        <f>INDEX('Points Summary'!$F$4:$F$672,G10)</f>
        <v>49.491108471830572</v>
      </c>
      <c r="E10" s="41">
        <f t="shared" si="0"/>
        <v>0.47736282578108197</v>
      </c>
      <c r="F10" s="5"/>
      <c r="G10" s="4">
        <f>MATCH(B10,'Points Summary'!$B$4:$B$673,0)</f>
        <v>18</v>
      </c>
    </row>
    <row r="11" spans="1:7" x14ac:dyDescent="0.2">
      <c r="A11" s="4">
        <v>2</v>
      </c>
      <c r="B11" s="5" t="s">
        <v>64</v>
      </c>
      <c r="C11" s="40">
        <f>TIME(0,41,54)</f>
        <v>2.9097222222222222E-2</v>
      </c>
      <c r="D11" s="6">
        <f>INDEX('Points Summary'!$F$4:$F$672,G11)</f>
        <v>46.917507946651071</v>
      </c>
      <c r="E11" s="41">
        <f t="shared" si="0"/>
        <v>0.51097190301387896</v>
      </c>
      <c r="F11" s="5"/>
      <c r="G11" s="4">
        <f>MATCH(B11,'Points Summary'!$B$4:$B$673,0)</f>
        <v>6</v>
      </c>
    </row>
    <row r="12" spans="1:7" x14ac:dyDescent="0.2">
      <c r="A12" s="4">
        <v>1</v>
      </c>
      <c r="B12" s="5" t="s">
        <v>454</v>
      </c>
      <c r="C12" s="40">
        <f>TIME(0,50,5)</f>
        <v>3.4780092592592592E-2</v>
      </c>
      <c r="D12" s="6">
        <f>INDEX('Points Summary'!$F$4:$F$672,G12)</f>
        <v>46.432260513221678</v>
      </c>
      <c r="E12" s="41">
        <f t="shared" si="0"/>
        <v>0.42748198475104549</v>
      </c>
      <c r="F12" s="5"/>
      <c r="G12" s="4">
        <f>MATCH(B12,'Points Summary'!$B$4:$B$673,0)</f>
        <v>145</v>
      </c>
    </row>
    <row r="13" spans="1:7" x14ac:dyDescent="0.2">
      <c r="A13" s="4">
        <v>4</v>
      </c>
      <c r="B13" s="5" t="s">
        <v>258</v>
      </c>
      <c r="C13" s="40">
        <f>TIME(1,12,18)</f>
        <v>5.0208333333333334E-2</v>
      </c>
      <c r="D13" s="6">
        <f>INDEX('Points Summary'!$F$4:$F$672,G13)</f>
        <v>34.070633476673052</v>
      </c>
      <c r="E13" s="41">
        <f t="shared" si="0"/>
        <v>0.29612341267332676</v>
      </c>
      <c r="F13" s="5"/>
      <c r="G13" s="4">
        <f>MATCH(B13,'Points Summary'!$B$4:$B$673,0)</f>
        <v>30</v>
      </c>
    </row>
    <row r="14" spans="1:7" x14ac:dyDescent="0.2">
      <c r="A14" s="4">
        <v>1</v>
      </c>
      <c r="B14" s="5" t="s">
        <v>453</v>
      </c>
      <c r="C14" s="40">
        <v>3.6863425925925931E-2</v>
      </c>
      <c r="D14" s="6">
        <f>INDEX('Points Summary'!$F$4:$F$672,G14)</f>
        <v>0</v>
      </c>
      <c r="E14" s="41">
        <f t="shared" si="0"/>
        <v>0.40332287729258759</v>
      </c>
      <c r="F14" s="5"/>
      <c r="G14" s="4">
        <f>MATCH(B14,'Points Summary'!$B$4:$B$673,0)</f>
        <v>144</v>
      </c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  <row r="17" spans="3:7" x14ac:dyDescent="0.2">
      <c r="C17" s="40"/>
      <c r="D17" s="6"/>
      <c r="E17" s="41"/>
      <c r="F17" s="5"/>
      <c r="G17" s="4"/>
    </row>
    <row r="18" spans="3:7" x14ac:dyDescent="0.2">
      <c r="C18" s="40"/>
      <c r="D18" s="6"/>
      <c r="E18" s="41"/>
      <c r="F18" s="5"/>
      <c r="G18" s="4"/>
    </row>
    <row r="19" spans="3:7" x14ac:dyDescent="0.2">
      <c r="C19" s="40"/>
      <c r="D19" s="6"/>
      <c r="E19" s="41"/>
      <c r="F19" s="5"/>
      <c r="G19" s="4"/>
    </row>
    <row r="20" spans="3:7" x14ac:dyDescent="0.2">
      <c r="C20" s="40"/>
      <c r="D20" s="6"/>
      <c r="E20" s="41"/>
      <c r="F20" s="5"/>
      <c r="G20" s="4"/>
    </row>
  </sheetData>
  <sortState ref="A8:G14">
    <sortCondition descending="1" ref="D8:D14"/>
  </sortState>
  <phoneticPr fontId="0" type="noConversion"/>
  <hyperlinks>
    <hyperlink ref="B8" r:id="rId1" display="http://services.biathlonresults.com/athletes.aspx?IbuId=BTUSA22404199801" xr:uid="{00000000-0004-0000-3200-000000000000}"/>
    <hyperlink ref="B10" r:id="rId2" display="http://services.biathlonresults.com/athletes.aspx?IbuId=BTUSA22401199001" xr:uid="{00000000-0004-0000-3200-000001000000}"/>
    <hyperlink ref="B14" r:id="rId3" display="http://services.biathlonresults.com/athletes.aspx?IbuId=BTUSA22404199801" xr:uid="{00000000-0004-0000-3200-000002000000}"/>
  </hyperlinks>
  <printOptions horizontalCentered="1"/>
  <pageMargins left="0.75" right="0.75" top="1" bottom="1" header="0.5" footer="0.5"/>
  <pageSetup orientation="portrait" horizontalDpi="4294967292" verticalDpi="1200" r:id="rId4"/>
  <headerFooter alignWithMargins="0">
    <oddHeader>&amp;L&amp;"Tahoma,Bold"&amp;11U.S. Biathlon Association&amp;R&amp;"Tahoma,Bold"&amp;11 2018 Race Points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7"/>
  <sheetViews>
    <sheetView workbookViewId="0">
      <selection activeCell="B8" sqref="B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456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43163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23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446</v>
      </c>
      <c r="C5" s="35"/>
      <c r="D5" s="35"/>
      <c r="E5" s="35" t="s">
        <v>28</v>
      </c>
      <c r="F5" s="52">
        <f>AVERAGE(C8:C9)*(AVERAGE(D8:D9)/100)</f>
        <v>1.3934983083250658E-2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57</v>
      </c>
      <c r="B8" s="5" t="s">
        <v>242</v>
      </c>
      <c r="C8" s="60">
        <f>E12-F12</f>
        <v>2.0081018518518515E-2</v>
      </c>
      <c r="D8" s="6">
        <f>INDEX('Points Summary'!$F$4:$F$672,G8)</f>
        <v>70.939536977561588</v>
      </c>
      <c r="E8" s="41">
        <f>(AVERAGE($D$8:$D$9)/100*AVERAGE($C$8:$C$9))/C8</f>
        <v>0.69393806247426915</v>
      </c>
      <c r="F8" s="5"/>
      <c r="G8" s="4">
        <f>MATCH(B8,'Points Summary'!$B$4:$B$673,0)</f>
        <v>54</v>
      </c>
    </row>
    <row r="9" spans="1:7" x14ac:dyDescent="0.2">
      <c r="A9" s="4">
        <v>48</v>
      </c>
      <c r="B9" s="5" t="s">
        <v>243</v>
      </c>
      <c r="C9" s="60">
        <f>E13-F13</f>
        <v>1.923611111111111E-2</v>
      </c>
      <c r="D9" s="6">
        <f>INDEX('Points Summary'!$F$4:$F$672,G9)</f>
        <v>70.830558800225518</v>
      </c>
      <c r="E9" s="41">
        <f>(AVERAGE($D$8:$D$9)/100*AVERAGE($C$8:$C$9))/C9</f>
        <v>0.72441789313649629</v>
      </c>
      <c r="F9" s="5"/>
      <c r="G9" s="4">
        <f>MATCH(B9,'Points Summary'!$B$4:$B$673,0)</f>
        <v>120</v>
      </c>
    </row>
    <row r="10" spans="1:7" x14ac:dyDescent="0.2">
      <c r="A10" s="4"/>
      <c r="B10" s="5"/>
      <c r="C10" s="60"/>
      <c r="D10" s="6"/>
      <c r="E10" s="41"/>
      <c r="F10" s="5"/>
      <c r="G10" s="4"/>
    </row>
    <row r="11" spans="1:7" x14ac:dyDescent="0.2">
      <c r="A11" s="4"/>
      <c r="B11" s="5"/>
      <c r="C11" s="60"/>
      <c r="D11" s="6"/>
      <c r="E11" s="41"/>
      <c r="F11" s="5"/>
      <c r="G11" s="4"/>
    </row>
    <row r="12" spans="1:7" x14ac:dyDescent="0.2">
      <c r="A12" s="4"/>
      <c r="B12" s="5"/>
      <c r="C12" s="60">
        <v>1.6944444444444443E-2</v>
      </c>
      <c r="D12" s="60">
        <v>5.1041666666666666E-3</v>
      </c>
      <c r="E12" s="60">
        <f>C12+D12</f>
        <v>2.2048611111111109E-2</v>
      </c>
      <c r="F12" s="60">
        <f>TIME(0,2,50)</f>
        <v>1.9675925925925928E-3</v>
      </c>
      <c r="G12" s="4"/>
    </row>
    <row r="13" spans="1:7" x14ac:dyDescent="0.2">
      <c r="A13" s="4"/>
      <c r="B13" s="5"/>
      <c r="C13" s="60">
        <v>1.6944444444444443E-2</v>
      </c>
      <c r="D13" s="60">
        <v>4.1435185185185186E-3</v>
      </c>
      <c r="E13" s="60">
        <f>C13+D13</f>
        <v>2.1087962962962961E-2</v>
      </c>
      <c r="F13" s="60">
        <f>TIME(0,2,40)</f>
        <v>1.8518518518518517E-3</v>
      </c>
      <c r="G13" s="4"/>
    </row>
    <row r="14" spans="1:7" x14ac:dyDescent="0.2">
      <c r="A14" s="4"/>
      <c r="B14" s="5"/>
      <c r="C14" s="60"/>
      <c r="D14" s="6"/>
      <c r="E14" s="41"/>
      <c r="F14" s="5"/>
      <c r="G14" s="4"/>
    </row>
    <row r="15" spans="1:7" x14ac:dyDescent="0.2">
      <c r="A15" s="4"/>
      <c r="B15" s="5"/>
      <c r="C15" s="60"/>
      <c r="D15" s="6"/>
      <c r="E15" s="41"/>
      <c r="F15" s="5"/>
      <c r="G15" s="4"/>
    </row>
    <row r="16" spans="1:7" x14ac:dyDescent="0.2">
      <c r="A16" s="4"/>
      <c r="B16" s="5"/>
      <c r="C16" s="60"/>
      <c r="D16" s="6"/>
      <c r="E16" s="41"/>
      <c r="F16" s="5"/>
      <c r="G16" s="4"/>
    </row>
    <row r="17" spans="1:7" x14ac:dyDescent="0.2">
      <c r="A17" s="4"/>
      <c r="C17" s="60"/>
      <c r="D17" s="6"/>
      <c r="E17" s="41"/>
      <c r="F17" s="5"/>
      <c r="G17" s="4"/>
    </row>
    <row r="18" spans="1:7" x14ac:dyDescent="0.2">
      <c r="A18" s="4"/>
      <c r="C18" s="60"/>
      <c r="D18" s="6"/>
      <c r="E18" s="41"/>
      <c r="F18" s="5"/>
      <c r="G18" s="4"/>
    </row>
    <row r="19" spans="1:7" x14ac:dyDescent="0.2">
      <c r="A19" s="4"/>
      <c r="C19" s="60"/>
      <c r="D19" s="6"/>
      <c r="E19" s="41"/>
      <c r="F19" s="5"/>
      <c r="G19" s="4"/>
    </row>
    <row r="20" spans="1:7" x14ac:dyDescent="0.2">
      <c r="A20" s="4"/>
      <c r="C20" s="60"/>
      <c r="D20" s="6"/>
      <c r="E20" s="41"/>
      <c r="F20" s="5"/>
      <c r="G20" s="4"/>
    </row>
    <row r="21" spans="1:7" x14ac:dyDescent="0.2">
      <c r="A21" s="4"/>
      <c r="C21" s="60"/>
      <c r="D21" s="6"/>
      <c r="E21" s="41"/>
      <c r="F21" s="5"/>
      <c r="G21" s="4"/>
    </row>
    <row r="22" spans="1:7" x14ac:dyDescent="0.2">
      <c r="A22" s="4"/>
      <c r="C22" s="60"/>
      <c r="D22" s="6"/>
      <c r="E22" s="41"/>
      <c r="F22" s="5"/>
      <c r="G22" s="4"/>
    </row>
    <row r="23" spans="1:7" x14ac:dyDescent="0.2">
      <c r="A23" s="4"/>
      <c r="B23" s="5"/>
      <c r="C23" s="60"/>
      <c r="D23" s="6"/>
      <c r="E23" s="41"/>
      <c r="F23" s="5"/>
      <c r="G23" s="4"/>
    </row>
    <row r="24" spans="1:7" x14ac:dyDescent="0.2">
      <c r="A24" s="4"/>
      <c r="B24" s="5"/>
      <c r="C24" s="60"/>
      <c r="D24" s="6"/>
      <c r="E24" s="41"/>
      <c r="F24" s="5"/>
      <c r="G24" s="4"/>
    </row>
    <row r="25" spans="1:7" x14ac:dyDescent="0.2">
      <c r="A25" s="4"/>
      <c r="B25" s="5"/>
      <c r="C25" s="60"/>
      <c r="D25" s="6"/>
      <c r="E25" s="41"/>
      <c r="F25" s="5"/>
      <c r="G25" s="4"/>
    </row>
    <row r="26" spans="1:7" x14ac:dyDescent="0.2">
      <c r="A26" s="4"/>
      <c r="B26" s="5"/>
      <c r="C26" s="60"/>
      <c r="D26" s="6"/>
      <c r="E26" s="41"/>
      <c r="F26" s="5"/>
      <c r="G26" s="4"/>
    </row>
    <row r="27" spans="1:7" x14ac:dyDescent="0.2">
      <c r="A27" s="4"/>
      <c r="B27" s="5"/>
      <c r="C27" s="60"/>
      <c r="D27" s="6"/>
      <c r="E27" s="41"/>
      <c r="F27" s="5"/>
      <c r="G27" s="4"/>
    </row>
  </sheetData>
  <sortState ref="A8:G14">
    <sortCondition descending="1" ref="D8:D14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25"/>
  <sheetViews>
    <sheetView workbookViewId="0">
      <selection activeCell="E8" sqref="E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457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43164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375</v>
      </c>
      <c r="C5" s="35"/>
      <c r="D5" s="35"/>
      <c r="E5" s="35" t="s">
        <v>28</v>
      </c>
      <c r="F5" s="52">
        <f>AVERAGE(C8:C9)*(AVERAGE(D8:D9)/100)</f>
        <v>1.7840687338910786E-2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4">
        <v>1</v>
      </c>
      <c r="B8" s="5" t="s">
        <v>345</v>
      </c>
      <c r="C8" s="60">
        <f>TIME(0,29,25.2)</f>
        <v>2.0428240740740743E-2</v>
      </c>
      <c r="D8" s="6">
        <f>INDEX('Points Summary'!$F$4:$F$672,G8)</f>
        <v>87.124655385669783</v>
      </c>
      <c r="E8" s="67">
        <f>(AVERAGE($D$8:$D$9)/100*AVERAGE($C$8:$C$9))/C8</f>
        <v>0.87333449636367799</v>
      </c>
      <c r="F8" s="5"/>
      <c r="G8" s="4">
        <f>MATCH(B8,'Points Summary'!$B$4:$B$673,0)</f>
        <v>71</v>
      </c>
      <c r="I8" s="247"/>
      <c r="J8" s="5"/>
      <c r="K8" s="40"/>
    </row>
    <row r="9" spans="1:11" x14ac:dyDescent="0.2">
      <c r="A9" s="4">
        <v>2</v>
      </c>
      <c r="B9" s="5" t="s">
        <v>223</v>
      </c>
      <c r="C9" s="60">
        <f>TIME(0,32,59.5)</f>
        <v>2.2905092592592591E-2</v>
      </c>
      <c r="D9" s="6">
        <f>INDEX('Points Summary'!$F$4:$F$672,G9)</f>
        <v>77.558612358122105</v>
      </c>
      <c r="E9" s="67">
        <f t="shared" ref="E9:E14" si="0">(AVERAGE($D$8:$D$9)/100*AVERAGE($C$8:$C$9))/C9</f>
        <v>0.77889610211313387</v>
      </c>
      <c r="F9" s="5"/>
      <c r="G9" s="4">
        <f>MATCH(B9,'Points Summary'!$B$4:$B$673,0)</f>
        <v>59</v>
      </c>
      <c r="I9" s="247"/>
      <c r="J9" s="5"/>
      <c r="K9" s="40"/>
    </row>
    <row r="10" spans="1:11" x14ac:dyDescent="0.2">
      <c r="A10" s="4">
        <v>3</v>
      </c>
      <c r="B10" s="5" t="s">
        <v>458</v>
      </c>
      <c r="C10" s="60">
        <f>TIME(0,39,1.8)</f>
        <v>2.7094907407407404E-2</v>
      </c>
      <c r="D10" s="6">
        <f>INDEX('Points Summary'!$F$4:$F$672,G10)</f>
        <v>0</v>
      </c>
      <c r="E10" s="67">
        <f t="shared" si="0"/>
        <v>0.65845168136774546</v>
      </c>
      <c r="F10" s="5"/>
      <c r="G10" s="4">
        <f>MATCH(B10,'Points Summary'!$B$4:$B$673,0)</f>
        <v>132</v>
      </c>
      <c r="I10" s="247"/>
      <c r="J10" s="5"/>
      <c r="K10" s="40"/>
    </row>
    <row r="11" spans="1:11" x14ac:dyDescent="0.2">
      <c r="A11" s="4">
        <v>4</v>
      </c>
      <c r="B11" s="5" t="s">
        <v>377</v>
      </c>
      <c r="C11" s="60">
        <f>TIME(0,44,44.5)</f>
        <v>3.1064814814814812E-2</v>
      </c>
      <c r="D11" s="6">
        <f>INDEX('Points Summary'!$F$4:$F$672,G11)</f>
        <v>0</v>
      </c>
      <c r="E11" s="67">
        <f t="shared" si="0"/>
        <v>0.57430528542544412</v>
      </c>
      <c r="F11" s="5"/>
      <c r="G11" s="4">
        <f>MATCH(B11,'Points Summary'!$B$4:$B$673,0)</f>
        <v>94</v>
      </c>
      <c r="I11" s="247"/>
      <c r="J11" s="5"/>
      <c r="K11" s="40"/>
    </row>
    <row r="12" spans="1:11" x14ac:dyDescent="0.2">
      <c r="A12" s="4">
        <v>5</v>
      </c>
      <c r="B12" s="5" t="s">
        <v>459</v>
      </c>
      <c r="C12" s="60">
        <f>TIME(0,47,3.3)</f>
        <v>3.2673611111111105E-2</v>
      </c>
      <c r="D12" s="6">
        <f>INDEX('Points Summary'!$F$4:$F$672,G12)</f>
        <v>0</v>
      </c>
      <c r="E12" s="67">
        <f t="shared" si="0"/>
        <v>0.54602741271055333</v>
      </c>
      <c r="F12" s="5"/>
      <c r="G12" s="4">
        <f>MATCH(B12,'Points Summary'!$B$4:$B$673,0)</f>
        <v>67</v>
      </c>
      <c r="I12" s="247"/>
      <c r="J12" s="5"/>
      <c r="K12" s="40"/>
    </row>
    <row r="13" spans="1:11" x14ac:dyDescent="0.2">
      <c r="A13" s="4">
        <v>6</v>
      </c>
      <c r="B13" s="5" t="s">
        <v>460</v>
      </c>
      <c r="C13" s="60">
        <f>TIME(0,55,48.2)</f>
        <v>3.875E-2</v>
      </c>
      <c r="D13" s="6">
        <f>INDEX('Points Summary'!$F$4:$F$672,G13)</f>
        <v>0</v>
      </c>
      <c r="E13" s="67">
        <f t="shared" si="0"/>
        <v>0.46040483455253639</v>
      </c>
      <c r="F13" s="5"/>
      <c r="G13" s="4">
        <f>MATCH(B13,'Points Summary'!$B$4:$B$673,0)</f>
        <v>33</v>
      </c>
      <c r="I13" s="247"/>
      <c r="J13" s="5"/>
      <c r="K13" s="40"/>
    </row>
    <row r="14" spans="1:11" x14ac:dyDescent="0.2">
      <c r="A14" s="63">
        <v>7</v>
      </c>
      <c r="B14" s="5" t="s">
        <v>461</v>
      </c>
      <c r="C14" s="60">
        <f>TIME(0,57,59.5)</f>
        <v>4.02662037037037E-2</v>
      </c>
      <c r="D14" s="6">
        <f>INDEX('Points Summary'!$F$4:$F$672,G14)</f>
        <v>0</v>
      </c>
      <c r="E14" s="67">
        <f t="shared" si="0"/>
        <v>0.44306852143773845</v>
      </c>
      <c r="F14" s="5"/>
      <c r="G14" s="4">
        <f>MATCH(B14,'Points Summary'!$B$4:$B$673,0)</f>
        <v>97</v>
      </c>
      <c r="I14" s="247"/>
      <c r="J14" s="5"/>
      <c r="K14" s="40"/>
    </row>
    <row r="15" spans="1:11" x14ac:dyDescent="0.2">
      <c r="A15" s="63"/>
      <c r="B15" s="5"/>
      <c r="C15" s="60"/>
      <c r="D15" s="6"/>
      <c r="E15" s="41"/>
      <c r="F15" s="5"/>
      <c r="G15" s="4"/>
      <c r="I15" s="5"/>
      <c r="J15" s="5"/>
      <c r="K15" s="40"/>
    </row>
    <row r="16" spans="1:11" x14ac:dyDescent="0.2">
      <c r="A16" s="63"/>
      <c r="B16" s="5"/>
      <c r="C16" s="60"/>
      <c r="D16" s="6"/>
      <c r="E16" s="41"/>
      <c r="F16" s="5"/>
      <c r="G16" s="4"/>
      <c r="I16" s="5"/>
      <c r="J16" s="5"/>
      <c r="K16" s="40"/>
    </row>
    <row r="17" spans="1:11" x14ac:dyDescent="0.2">
      <c r="A17" s="63"/>
      <c r="B17" s="5"/>
      <c r="C17" s="60"/>
      <c r="D17" s="6"/>
      <c r="E17" s="41"/>
      <c r="F17" s="5"/>
      <c r="G17" s="4"/>
      <c r="I17" s="5"/>
      <c r="J17" s="5"/>
      <c r="K17" s="40"/>
    </row>
    <row r="18" spans="1:11" x14ac:dyDescent="0.2">
      <c r="A18" s="63"/>
      <c r="C18" s="60"/>
      <c r="D18" s="6"/>
      <c r="E18" s="41"/>
      <c r="F18" s="5"/>
      <c r="G18" s="4"/>
      <c r="I18" s="5"/>
      <c r="J18" s="5"/>
      <c r="K18" s="40"/>
    </row>
    <row r="19" spans="1:11" x14ac:dyDescent="0.2">
      <c r="A19" s="63"/>
      <c r="B19" s="5"/>
      <c r="C19" s="60"/>
      <c r="D19" s="6"/>
      <c r="E19" s="41"/>
      <c r="F19" s="5"/>
      <c r="G19" s="4"/>
    </row>
    <row r="20" spans="1:11" x14ac:dyDescent="0.2">
      <c r="A20" s="63"/>
      <c r="B20" s="5"/>
      <c r="C20" s="60"/>
      <c r="D20" s="6"/>
      <c r="E20" s="41"/>
      <c r="F20" s="5"/>
      <c r="G20" s="4"/>
    </row>
    <row r="21" spans="1:11" x14ac:dyDescent="0.2">
      <c r="A21" s="63"/>
      <c r="C21" s="60"/>
      <c r="D21" s="6"/>
      <c r="E21" s="41"/>
      <c r="F21" s="5"/>
      <c r="G21" s="4"/>
    </row>
    <row r="22" spans="1:11" x14ac:dyDescent="0.2">
      <c r="A22" s="63"/>
      <c r="C22" s="60"/>
      <c r="D22" s="6"/>
      <c r="E22" s="41"/>
      <c r="F22" s="5"/>
      <c r="G22" s="4"/>
    </row>
    <row r="23" spans="1:11" x14ac:dyDescent="0.2">
      <c r="A23" s="63"/>
      <c r="C23" s="60"/>
      <c r="D23" s="6"/>
      <c r="E23" s="41"/>
      <c r="F23" s="5"/>
      <c r="G23" s="4"/>
    </row>
    <row r="24" spans="1:11" x14ac:dyDescent="0.2">
      <c r="A24" s="63"/>
      <c r="C24" s="60"/>
      <c r="D24" s="6"/>
      <c r="E24" s="41"/>
      <c r="F24" s="5"/>
      <c r="G24" s="4"/>
    </row>
    <row r="25" spans="1:11" x14ac:dyDescent="0.2">
      <c r="A25" s="63"/>
      <c r="C25" s="60"/>
      <c r="D25" s="6"/>
      <c r="E25" s="41"/>
      <c r="F25" s="5"/>
      <c r="G25" s="4"/>
    </row>
  </sheetData>
  <sortState ref="A8:G12">
    <sortCondition descending="1" ref="D8:D12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&amp;L&amp;"Tahoma,Bold"&amp;11U.S. Biathlon Association&amp;R&amp;"Tahoma,Bold"&amp;11 2018 Race Points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30"/>
  <sheetViews>
    <sheetView workbookViewId="0">
      <selection activeCell="E12" sqref="E1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462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43160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1.4357701699710682E-2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4">
        <v>1</v>
      </c>
      <c r="B8" s="5" t="s">
        <v>486</v>
      </c>
      <c r="C8" s="60">
        <v>2.2187499999999638E-2</v>
      </c>
      <c r="D8" s="6">
        <f>INDEX('Points Summary'!$F$4:$F$672,G8)</f>
        <v>64.00084554229889</v>
      </c>
      <c r="E8" s="67">
        <f t="shared" ref="E8:E30" si="0">(AVERAGE($D$8:$D$10)/100*AVERAGE($C$8:$C$10))/C8</f>
        <v>0.64710768224049198</v>
      </c>
      <c r="F8" s="5"/>
      <c r="G8" s="4">
        <f>MATCH(B8,'Points Summary'!$B$4:$B$673,0)</f>
        <v>19</v>
      </c>
      <c r="H8" s="63"/>
      <c r="I8" s="5"/>
      <c r="J8" s="5"/>
      <c r="K8" s="40"/>
    </row>
    <row r="9" spans="1:11" x14ac:dyDescent="0.2">
      <c r="A9" s="4">
        <v>1</v>
      </c>
      <c r="B9" s="5" t="s">
        <v>471</v>
      </c>
      <c r="C9" s="60">
        <v>2.2719907407406204E-2</v>
      </c>
      <c r="D9" s="6">
        <f>INDEX('Points Summary'!$F$4:$F$672,G9)</f>
        <v>61.726198870793141</v>
      </c>
      <c r="E9" s="67">
        <f t="shared" si="0"/>
        <v>0.63194367134746243</v>
      </c>
      <c r="F9" s="5"/>
      <c r="G9" s="4">
        <f>MATCH(B9,'Points Summary'!$B$4:$B$673,0)</f>
        <v>99</v>
      </c>
      <c r="H9" s="63"/>
      <c r="I9" s="5"/>
      <c r="J9" s="5"/>
      <c r="K9" s="40"/>
    </row>
    <row r="10" spans="1:11" x14ac:dyDescent="0.2">
      <c r="A10" s="4">
        <v>1</v>
      </c>
      <c r="B10" s="5" t="s">
        <v>464</v>
      </c>
      <c r="C10" s="60">
        <v>2.5717592592592542E-2</v>
      </c>
      <c r="D10" s="6">
        <f>INDEX('Points Summary'!$F$4:$F$672,G10)</f>
        <v>57.238357777915553</v>
      </c>
      <c r="E10" s="67">
        <f t="shared" si="0"/>
        <v>0.5582832704117936</v>
      </c>
      <c r="F10" s="5"/>
      <c r="G10" s="4">
        <f>MATCH(B10,'Points Summary'!$B$4:$B$673,0)</f>
        <v>89</v>
      </c>
      <c r="H10" s="63"/>
      <c r="I10" s="5"/>
      <c r="J10" s="5"/>
      <c r="K10" s="40"/>
    </row>
    <row r="11" spans="1:11" x14ac:dyDescent="0.2">
      <c r="A11" s="4">
        <v>2</v>
      </c>
      <c r="B11" s="5" t="s">
        <v>465</v>
      </c>
      <c r="C11" s="60">
        <v>2.7615740740740691E-2</v>
      </c>
      <c r="D11" s="6">
        <f>INDEX('Points Summary'!$F$4:$F$672,G11)</f>
        <v>51.925240638313682</v>
      </c>
      <c r="E11" s="67">
        <f t="shared" si="0"/>
        <v>0.51991006993084876</v>
      </c>
      <c r="F11" s="5"/>
      <c r="G11" s="4">
        <f>MATCH(B11,'Points Summary'!$B$4:$B$673,0)</f>
        <v>37</v>
      </c>
      <c r="H11" s="63"/>
      <c r="I11" s="5"/>
      <c r="J11" s="5"/>
      <c r="K11" s="40"/>
    </row>
    <row r="12" spans="1:11" x14ac:dyDescent="0.2">
      <c r="A12" s="4">
        <v>5</v>
      </c>
      <c r="B12" s="5" t="s">
        <v>468</v>
      </c>
      <c r="C12" s="60">
        <v>3.3854166666666685E-2</v>
      </c>
      <c r="D12" s="6">
        <f>INDEX('Points Summary'!$F$4:$F$672,G12)</f>
        <v>50.880479596598668</v>
      </c>
      <c r="E12" s="67">
        <f t="shared" si="0"/>
        <v>0.42410441943760763</v>
      </c>
      <c r="F12" s="5"/>
      <c r="G12" s="4">
        <f>MATCH(B12,'Points Summary'!$B$4:$B$673,0)</f>
        <v>2</v>
      </c>
      <c r="H12" s="63"/>
    </row>
    <row r="13" spans="1:11" x14ac:dyDescent="0.2">
      <c r="A13" s="4">
        <v>2</v>
      </c>
      <c r="B13" s="5" t="s">
        <v>472</v>
      </c>
      <c r="C13" s="60">
        <v>2.9317129629629679E-2</v>
      </c>
      <c r="D13" s="6">
        <f>INDEX('Points Summary'!$F$4:$F$672,G13)</f>
        <v>48.979175803487578</v>
      </c>
      <c r="E13" s="67">
        <f t="shared" si="0"/>
        <v>0.48973763397354947</v>
      </c>
      <c r="F13" s="5"/>
      <c r="G13" s="4">
        <f>MATCH(B13,'Points Summary'!$B$4:$B$673,0)</f>
        <v>28</v>
      </c>
      <c r="H13" s="63"/>
    </row>
    <row r="14" spans="1:11" x14ac:dyDescent="0.2">
      <c r="A14" s="4">
        <v>2</v>
      </c>
      <c r="B14" s="5" t="s">
        <v>300</v>
      </c>
      <c r="C14" s="60">
        <v>3.3564814814814714E-2</v>
      </c>
      <c r="D14" s="6">
        <f>INDEX('Points Summary'!$F$4:$F$672,G14)</f>
        <v>48.378659039708005</v>
      </c>
      <c r="E14" s="67">
        <f t="shared" si="0"/>
        <v>0.42776049201896782</v>
      </c>
      <c r="F14" s="5"/>
      <c r="G14" s="4">
        <f>MATCH(B14,'Points Summary'!$B$4:$B$673,0)</f>
        <v>39</v>
      </c>
      <c r="H14" s="63"/>
    </row>
    <row r="15" spans="1:11" x14ac:dyDescent="0.2">
      <c r="A15" s="4">
        <v>6</v>
      </c>
      <c r="B15" s="5" t="s">
        <v>469</v>
      </c>
      <c r="C15" s="60">
        <v>3.7025462962962774E-2</v>
      </c>
      <c r="D15" s="6">
        <f>INDEX('Points Summary'!$F$4:$F$672,G15)</f>
        <v>47.961982020716732</v>
      </c>
      <c r="E15" s="67">
        <f t="shared" si="0"/>
        <v>0.38777912686933708</v>
      </c>
      <c r="F15" s="5"/>
      <c r="G15" s="4">
        <f>MATCH(B15,'Points Summary'!$B$4:$B$673,0)</f>
        <v>79</v>
      </c>
      <c r="H15" s="63"/>
    </row>
    <row r="16" spans="1:11" x14ac:dyDescent="0.2">
      <c r="A16" s="4">
        <v>4</v>
      </c>
      <c r="B16" s="5" t="s">
        <v>474</v>
      </c>
      <c r="C16" s="60">
        <v>3.4467592592591578E-2</v>
      </c>
      <c r="D16" s="6">
        <f>INDEX('Points Summary'!$F$4:$F$672,G16)</f>
        <v>44.597298920341146</v>
      </c>
      <c r="E16" s="67">
        <f t="shared" si="0"/>
        <v>0.41655655703661498</v>
      </c>
      <c r="F16" s="5"/>
      <c r="G16" s="4">
        <f>MATCH(B16,'Points Summary'!$B$4:$B$673,0)</f>
        <v>131</v>
      </c>
      <c r="H16" s="63"/>
    </row>
    <row r="17" spans="1:8" x14ac:dyDescent="0.2">
      <c r="A17" s="4">
        <v>7</v>
      </c>
      <c r="B17" s="5" t="s">
        <v>470</v>
      </c>
      <c r="C17" s="60">
        <v>4.130787037036987E-2</v>
      </c>
      <c r="D17" s="6">
        <f>INDEX('Points Summary'!$F$4:$F$672,G17)</f>
        <v>42.874094829807888</v>
      </c>
      <c r="E17" s="67">
        <f t="shared" si="0"/>
        <v>0.34757787247268646</v>
      </c>
      <c r="F17" s="5"/>
      <c r="G17" s="4">
        <f>MATCH(B17,'Points Summary'!$B$4:$B$673,0)</f>
        <v>95</v>
      </c>
      <c r="H17" s="63"/>
    </row>
    <row r="18" spans="1:8" x14ac:dyDescent="0.2">
      <c r="A18" s="4">
        <v>7</v>
      </c>
      <c r="B18" s="5" t="s">
        <v>477</v>
      </c>
      <c r="C18" s="60">
        <v>3.944444444444356E-2</v>
      </c>
      <c r="D18" s="6">
        <f>INDEX('Points Summary'!$F$4:$F$672,G18)</f>
        <v>42.620598078269083</v>
      </c>
      <c r="E18" s="67">
        <f t="shared" si="0"/>
        <v>0.363998071260279</v>
      </c>
      <c r="F18" s="5"/>
      <c r="G18" s="4">
        <f>MATCH(B18,'Points Summary'!$B$4:$B$673,0)</f>
        <v>32</v>
      </c>
      <c r="H18" s="63"/>
    </row>
    <row r="19" spans="1:8" x14ac:dyDescent="0.2">
      <c r="A19" s="4">
        <v>5</v>
      </c>
      <c r="B19" s="5" t="s">
        <v>475</v>
      </c>
      <c r="C19" s="60">
        <v>3.7349537037035703E-2</v>
      </c>
      <c r="D19" s="6">
        <f>INDEX('Points Summary'!$F$4:$F$672,G19)</f>
        <v>37.920209603970235</v>
      </c>
      <c r="E19" s="67">
        <f t="shared" si="0"/>
        <v>0.38441444897894245</v>
      </c>
      <c r="F19" s="5"/>
      <c r="G19" s="4">
        <f>MATCH(B19,'Points Summary'!$B$4:$B$673,0)</f>
        <v>107</v>
      </c>
      <c r="H19" s="63"/>
    </row>
    <row r="20" spans="1:8" x14ac:dyDescent="0.2">
      <c r="A20" s="4">
        <v>6</v>
      </c>
      <c r="B20" s="5" t="s">
        <v>476</v>
      </c>
      <c r="C20" s="60">
        <v>3.9317129629629077E-2</v>
      </c>
      <c r="D20" s="6">
        <f>INDEX('Points Summary'!$F$4:$F$672,G20)</f>
        <v>35.379243468569577</v>
      </c>
      <c r="E20" s="67">
        <f t="shared" si="0"/>
        <v>0.36517675209155737</v>
      </c>
      <c r="F20" s="5"/>
      <c r="G20" s="4">
        <f>MATCH(B20,'Points Summary'!$B$4:$B$673,0)</f>
        <v>44</v>
      </c>
      <c r="H20" s="63"/>
    </row>
    <row r="21" spans="1:8" x14ac:dyDescent="0.2">
      <c r="A21" s="4">
        <v>10</v>
      </c>
      <c r="B21" s="5" t="s">
        <v>480</v>
      </c>
      <c r="C21" s="60">
        <v>5.5196759259258488E-2</v>
      </c>
      <c r="D21" s="6">
        <f>INDEX('Points Summary'!$F$4:$F$672,G21)</f>
        <v>30.96145120593183</v>
      </c>
      <c r="E21" s="67">
        <f t="shared" si="0"/>
        <v>0.26011856298071301</v>
      </c>
      <c r="F21" s="5"/>
      <c r="G21" s="4">
        <f>MATCH(B21,'Points Summary'!$B$4:$B$673,0)</f>
        <v>8</v>
      </c>
      <c r="H21" s="63"/>
    </row>
    <row r="22" spans="1:8" x14ac:dyDescent="0.2">
      <c r="A22" s="4">
        <v>3</v>
      </c>
      <c r="B22" s="5" t="s">
        <v>466</v>
      </c>
      <c r="C22" s="60">
        <v>3.048611111111027E-2</v>
      </c>
      <c r="D22" s="6">
        <f>INDEX('Points Summary'!$F$4:$F$672,G22)</f>
        <v>0</v>
      </c>
      <c r="E22" s="67">
        <f t="shared" si="0"/>
        <v>0.47095878012719711</v>
      </c>
      <c r="F22" s="5"/>
      <c r="G22" s="4">
        <f>MATCH(B22,'Points Summary'!$B$4:$B$673,0)</f>
        <v>92</v>
      </c>
      <c r="H22" s="63"/>
    </row>
    <row r="23" spans="1:8" x14ac:dyDescent="0.2">
      <c r="A23" s="4">
        <v>4</v>
      </c>
      <c r="B23" s="5" t="s">
        <v>467</v>
      </c>
      <c r="C23" s="60">
        <v>3.146990740740685E-2</v>
      </c>
      <c r="D23" s="6">
        <f>INDEX('Points Summary'!$F$4:$F$672,G23)</f>
        <v>0</v>
      </c>
      <c r="E23" s="67">
        <f t="shared" si="0"/>
        <v>0.45623590542663661</v>
      </c>
      <c r="F23" s="5"/>
      <c r="G23" s="4">
        <f>MATCH(B23,'Points Summary'!$B$4:$B$673,0)</f>
        <v>104</v>
      </c>
      <c r="H23" s="63"/>
    </row>
    <row r="24" spans="1:8" x14ac:dyDescent="0.2">
      <c r="A24" s="4">
        <v>3</v>
      </c>
      <c r="B24" s="5" t="s">
        <v>473</v>
      </c>
      <c r="C24" s="60">
        <v>3.211805555555447E-2</v>
      </c>
      <c r="D24" s="6">
        <f>INDEX('Points Summary'!$F$4:$F$672,G24)</f>
        <v>0</v>
      </c>
      <c r="E24" s="67">
        <f t="shared" si="0"/>
        <v>0.44702898265046664</v>
      </c>
      <c r="F24" s="5"/>
      <c r="G24" s="4">
        <f>MATCH(B24,'Points Summary'!$B$4:$B$673,0)</f>
        <v>118</v>
      </c>
      <c r="H24" s="63"/>
    </row>
    <row r="25" spans="1:8" x14ac:dyDescent="0.2">
      <c r="A25" s="4">
        <v>8</v>
      </c>
      <c r="B25" s="5" t="s">
        <v>478</v>
      </c>
      <c r="C25" s="60">
        <v>4.2372685185184507E-2</v>
      </c>
      <c r="D25" s="6">
        <f>INDEX('Points Summary'!$F$4:$F$672,G25)</f>
        <v>0</v>
      </c>
      <c r="E25" s="67">
        <f t="shared" si="0"/>
        <v>0.33884332883229251</v>
      </c>
      <c r="F25" s="5"/>
      <c r="G25" s="4">
        <f>MATCH(B25,'Points Summary'!$B$4:$B$673,0)</f>
        <v>75</v>
      </c>
      <c r="H25" s="63"/>
    </row>
    <row r="26" spans="1:8" x14ac:dyDescent="0.2">
      <c r="A26" s="4">
        <v>9</v>
      </c>
      <c r="B26" s="5" t="s">
        <v>479</v>
      </c>
      <c r="C26" s="60">
        <v>4.4872685185184724E-2</v>
      </c>
      <c r="D26" s="6">
        <f>INDEX('Points Summary'!$F$4:$F$672,G26)</f>
        <v>0</v>
      </c>
      <c r="E26" s="67">
        <f t="shared" si="0"/>
        <v>0.31996528936162388</v>
      </c>
      <c r="F26" s="5"/>
      <c r="G26" s="4">
        <f>MATCH(B26,'Points Summary'!$B$4:$B$673,0)</f>
        <v>73</v>
      </c>
      <c r="H26" s="63"/>
    </row>
    <row r="27" spans="1:8" x14ac:dyDescent="0.2">
      <c r="A27" s="4">
        <v>11</v>
      </c>
      <c r="B27" s="5" t="s">
        <v>481</v>
      </c>
      <c r="C27" s="60">
        <v>5.6435185185184311E-2</v>
      </c>
      <c r="D27" s="6">
        <f>INDEX('Points Summary'!$F$4:$F$672,G27)</f>
        <v>0</v>
      </c>
      <c r="E27" s="67">
        <f t="shared" si="0"/>
        <v>0.25441046490053776</v>
      </c>
      <c r="F27" s="5"/>
      <c r="G27" s="4">
        <f>MATCH(B27,'Points Summary'!$B$4:$B$673,0)</f>
        <v>46</v>
      </c>
      <c r="H27" s="63"/>
    </row>
    <row r="28" spans="1:8" x14ac:dyDescent="0.2">
      <c r="A28" s="4">
        <v>12</v>
      </c>
      <c r="B28" s="5" t="s">
        <v>482</v>
      </c>
      <c r="C28" s="60">
        <v>5.7210648148146734E-2</v>
      </c>
      <c r="D28" s="6">
        <f>INDEX('Points Summary'!$F$4:$F$672,G28)</f>
        <v>0</v>
      </c>
      <c r="E28" s="67">
        <f t="shared" si="0"/>
        <v>0.25096205277261452</v>
      </c>
      <c r="F28" s="5"/>
      <c r="G28" s="4">
        <f>MATCH(B28,'Points Summary'!$B$4:$B$673,0)</f>
        <v>68</v>
      </c>
      <c r="H28" s="63"/>
    </row>
    <row r="29" spans="1:8" x14ac:dyDescent="0.2">
      <c r="A29" s="4">
        <v>13</v>
      </c>
      <c r="B29" s="5" t="s">
        <v>483</v>
      </c>
      <c r="C29" s="60">
        <v>6.6631944444444258E-2</v>
      </c>
      <c r="D29" s="6">
        <f>INDEX('Points Summary'!$F$4:$F$672,G29)</f>
        <v>0</v>
      </c>
      <c r="E29" s="67">
        <f t="shared" si="0"/>
        <v>0.21547775349227138</v>
      </c>
      <c r="F29" s="5"/>
      <c r="G29" s="4">
        <f>MATCH(B29,'Points Summary'!$B$4:$B$673,0)</f>
        <v>1</v>
      </c>
      <c r="H29" s="63"/>
    </row>
    <row r="30" spans="1:8" x14ac:dyDescent="0.2">
      <c r="A30" s="4">
        <v>14</v>
      </c>
      <c r="B30" s="5" t="s">
        <v>484</v>
      </c>
      <c r="C30" s="60">
        <v>0.10226851851851786</v>
      </c>
      <c r="D30" s="6">
        <f>INDEX('Points Summary'!$F$4:$F$672,G30)</f>
        <v>0</v>
      </c>
      <c r="E30" s="67">
        <f t="shared" si="0"/>
        <v>0.14039219407594059</v>
      </c>
      <c r="F30" s="5"/>
      <c r="G30" s="4">
        <f>MATCH(B30,'Points Summary'!$B$4:$B$673,0)</f>
        <v>91</v>
      </c>
      <c r="H30" s="63"/>
    </row>
  </sheetData>
  <sortState ref="A8:G30">
    <sortCondition descending="1" ref="D8:D3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31"/>
  <sheetViews>
    <sheetView workbookViewId="0">
      <selection activeCell="B6" sqref="B6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462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43161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2.1524787798911232E-2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  <c r="K6" s="40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I7" s="4"/>
      <c r="J7" s="4"/>
      <c r="K7" s="4"/>
    </row>
    <row r="8" spans="1:11" x14ac:dyDescent="0.2">
      <c r="A8" s="63">
        <v>1</v>
      </c>
      <c r="B8" s="5" t="s">
        <v>47</v>
      </c>
      <c r="C8" s="60">
        <v>3.4872685185185187E-2</v>
      </c>
      <c r="D8" s="6">
        <f>INDEX('Points Summary'!$F$4:$F$672,G8)</f>
        <v>64.00084554229889</v>
      </c>
      <c r="E8" s="41">
        <f t="shared" ref="E8:E30" si="0">(AVERAGE($D$8:$D$10)/100*AVERAGE($C$8:$C$10))/C8</f>
        <v>0.61723918547159984</v>
      </c>
      <c r="F8" s="5"/>
      <c r="G8" s="4">
        <f>MATCH(B8,'Points Summary'!$B$4:$B$673,0)</f>
        <v>19</v>
      </c>
      <c r="I8" s="40"/>
      <c r="J8" s="40"/>
      <c r="K8" s="40"/>
    </row>
    <row r="9" spans="1:11" x14ac:dyDescent="0.2">
      <c r="A9" s="4">
        <v>1</v>
      </c>
      <c r="B9" s="5" t="s">
        <v>411</v>
      </c>
      <c r="C9" s="60">
        <v>3.4895833333333334E-2</v>
      </c>
      <c r="D9" s="6">
        <f>INDEX('Points Summary'!$F$4:$F$672,G9)</f>
        <v>61.726198870793141</v>
      </c>
      <c r="E9" s="41">
        <f t="shared" si="0"/>
        <v>0.61682973990909795</v>
      </c>
      <c r="F9" s="5"/>
      <c r="G9" s="4">
        <f>MATCH(B9,'Points Summary'!$B$4:$B$673,0)</f>
        <v>99</v>
      </c>
      <c r="I9" s="40"/>
      <c r="J9" s="40"/>
      <c r="K9" s="40"/>
    </row>
    <row r="10" spans="1:11" x14ac:dyDescent="0.2">
      <c r="A10" s="4">
        <v>1</v>
      </c>
      <c r="B10" s="5" t="s">
        <v>298</v>
      </c>
      <c r="C10" s="60">
        <v>3.6111111111111115E-2</v>
      </c>
      <c r="D10" s="6">
        <f>INDEX('Points Summary'!$F$4:$F$672,G10)</f>
        <v>57.238357777915553</v>
      </c>
      <c r="E10" s="41">
        <f t="shared" si="0"/>
        <v>0.59607104673908018</v>
      </c>
      <c r="F10" s="5"/>
      <c r="G10" s="4">
        <f>MATCH(B10,'Points Summary'!$B$4:$B$673,0)</f>
        <v>89</v>
      </c>
      <c r="I10" s="40"/>
      <c r="J10" s="40"/>
      <c r="K10" s="40"/>
    </row>
    <row r="11" spans="1:11" x14ac:dyDescent="0.2">
      <c r="A11" s="4">
        <v>2</v>
      </c>
      <c r="B11" s="5" t="s">
        <v>299</v>
      </c>
      <c r="C11" s="60">
        <v>3.858796296296297E-2</v>
      </c>
      <c r="D11" s="6">
        <f>INDEX('Points Summary'!$F$4:$F$672,G11)</f>
        <v>51.925240638313682</v>
      </c>
      <c r="E11" s="41">
        <f t="shared" si="0"/>
        <v>0.55781093756026701</v>
      </c>
      <c r="F11" s="5"/>
      <c r="G11" s="4">
        <f>MATCH(B11,'Points Summary'!$B$4:$B$673,0)</f>
        <v>37</v>
      </c>
      <c r="I11" s="40"/>
      <c r="J11" s="40"/>
      <c r="K11" s="40"/>
    </row>
    <row r="12" spans="1:11" x14ac:dyDescent="0.2">
      <c r="A12" s="63">
        <v>5</v>
      </c>
      <c r="B12" s="5" t="s">
        <v>230</v>
      </c>
      <c r="C12" s="60">
        <v>5.004629629629629E-2</v>
      </c>
      <c r="D12" s="6">
        <f>INDEX('Points Summary'!$F$4:$F$672,G12)</f>
        <v>50.880479596598668</v>
      </c>
      <c r="E12" s="41">
        <f t="shared" si="0"/>
        <v>0.43009751753606168</v>
      </c>
      <c r="F12" s="5"/>
      <c r="G12" s="4">
        <f>MATCH(B12,'Points Summary'!$B$4:$B$673,0)</f>
        <v>2</v>
      </c>
      <c r="I12" s="40"/>
      <c r="J12" s="40"/>
      <c r="K12" s="40"/>
    </row>
    <row r="13" spans="1:11" x14ac:dyDescent="0.2">
      <c r="A13" s="4">
        <v>2</v>
      </c>
      <c r="B13" s="5" t="s">
        <v>485</v>
      </c>
      <c r="C13" s="60">
        <v>4.311342592592593E-2</v>
      </c>
      <c r="D13" s="6">
        <f>INDEX('Points Summary'!$F$4:$F$672,G13)</f>
        <v>48.979175803487578</v>
      </c>
      <c r="E13" s="41">
        <f t="shared" si="0"/>
        <v>0.49925950760427656</v>
      </c>
      <c r="F13" s="5"/>
      <c r="G13" s="4">
        <f>MATCH(B13,'Points Summary'!$B$4:$B$673,0)</f>
        <v>28</v>
      </c>
      <c r="I13" s="40"/>
      <c r="J13" s="40"/>
      <c r="K13" s="40"/>
    </row>
    <row r="14" spans="1:11" x14ac:dyDescent="0.2">
      <c r="A14" s="63">
        <v>2</v>
      </c>
      <c r="B14" s="5" t="s">
        <v>300</v>
      </c>
      <c r="C14" s="60">
        <v>4.6863425925925926E-2</v>
      </c>
      <c r="D14" s="6">
        <f>INDEX('Points Summary'!$F$4:$F$672,G14)</f>
        <v>48.378659039708005</v>
      </c>
      <c r="E14" s="41">
        <f t="shared" si="0"/>
        <v>0.45930888264409248</v>
      </c>
      <c r="F14" s="5"/>
      <c r="G14" s="4">
        <f>MATCH(B14,'Points Summary'!$B$4:$B$673,0)</f>
        <v>39</v>
      </c>
      <c r="I14" s="40"/>
      <c r="J14" s="40"/>
      <c r="K14" s="40"/>
    </row>
    <row r="15" spans="1:11" x14ac:dyDescent="0.2">
      <c r="A15" s="63">
        <v>6</v>
      </c>
      <c r="B15" s="5" t="s">
        <v>405</v>
      </c>
      <c r="C15" s="60">
        <v>5.1446759259259262E-2</v>
      </c>
      <c r="D15" s="6">
        <f>INDEX('Points Summary'!$F$4:$F$672,G15)</f>
        <v>47.961982020716732</v>
      </c>
      <c r="E15" s="41">
        <f t="shared" si="0"/>
        <v>0.41838957611382011</v>
      </c>
      <c r="F15" s="5"/>
      <c r="G15" s="4">
        <f>MATCH(B15,'Points Summary'!$B$4:$B$673,0)</f>
        <v>79</v>
      </c>
      <c r="I15" s="40"/>
      <c r="J15" s="40"/>
      <c r="K15" s="40"/>
    </row>
    <row r="16" spans="1:11" x14ac:dyDescent="0.2">
      <c r="A16" s="4">
        <v>8</v>
      </c>
      <c r="B16" s="5" t="s">
        <v>413</v>
      </c>
      <c r="C16" s="60">
        <v>5.4988425925925927E-2</v>
      </c>
      <c r="D16" s="6">
        <f>INDEX('Points Summary'!$F$4:$F$672,G16)</f>
        <v>44.597298920341146</v>
      </c>
      <c r="E16" s="41">
        <f t="shared" si="0"/>
        <v>0.39144215235233226</v>
      </c>
      <c r="F16" s="5"/>
      <c r="G16" s="4">
        <f>MATCH(B16,'Points Summary'!$B$4:$B$673,0)</f>
        <v>131</v>
      </c>
      <c r="I16" s="40" t="s">
        <v>15</v>
      </c>
      <c r="J16" s="40"/>
      <c r="K16" s="40"/>
    </row>
    <row r="17" spans="1:11" x14ac:dyDescent="0.2">
      <c r="A17" s="63">
        <v>8</v>
      </c>
      <c r="B17" s="5" t="s">
        <v>303</v>
      </c>
      <c r="C17" s="60">
        <v>5.9189814814814813E-2</v>
      </c>
      <c r="D17" s="6">
        <f>INDEX('Points Summary'!$F$4:$F$672,G17)</f>
        <v>42.874094829807888</v>
      </c>
      <c r="E17" s="41">
        <f t="shared" si="0"/>
        <v>0.36365695460029929</v>
      </c>
      <c r="F17" s="5"/>
      <c r="G17" s="4">
        <f>MATCH(B17,'Points Summary'!$B$4:$B$673,0)</f>
        <v>95</v>
      </c>
      <c r="I17" s="40"/>
      <c r="J17" s="40"/>
      <c r="K17" s="40"/>
    </row>
    <row r="18" spans="1:11" x14ac:dyDescent="0.2">
      <c r="A18" s="4">
        <v>5</v>
      </c>
      <c r="B18" s="5" t="s">
        <v>414</v>
      </c>
      <c r="C18" s="60">
        <v>5.244212962962963E-2</v>
      </c>
      <c r="D18" s="6">
        <f>INDEX('Points Summary'!$F$4:$F$672,G18)</f>
        <v>42.620598078269083</v>
      </c>
      <c r="E18" s="41">
        <f t="shared" si="0"/>
        <v>0.41044839236943953</v>
      </c>
      <c r="F18" s="5"/>
      <c r="G18" s="4">
        <f>MATCH(B18,'Points Summary'!$B$4:$B$673,0)</f>
        <v>32</v>
      </c>
    </row>
    <row r="19" spans="1:11" x14ac:dyDescent="0.2">
      <c r="A19" s="4">
        <v>4</v>
      </c>
      <c r="B19" s="5" t="s">
        <v>418</v>
      </c>
      <c r="C19" s="60">
        <v>5.063657407407407E-2</v>
      </c>
      <c r="D19" s="6">
        <f>INDEX('Points Summary'!$F$4:$F$672,G19)</f>
        <v>37.920209603970235</v>
      </c>
      <c r="E19" s="41">
        <f t="shared" si="0"/>
        <v>0.4250838093316413</v>
      </c>
      <c r="F19" s="5"/>
      <c r="G19" s="4">
        <f>MATCH(B19,'Points Summary'!$B$4:$B$673,0)</f>
        <v>107</v>
      </c>
    </row>
    <row r="20" spans="1:11" x14ac:dyDescent="0.2">
      <c r="A20" s="4">
        <v>7</v>
      </c>
      <c r="B20" s="5" t="s">
        <v>305</v>
      </c>
      <c r="C20" s="60">
        <v>5.8726851851851856E-2</v>
      </c>
      <c r="D20" s="6">
        <f>INDEX('Points Summary'!$F$4:$F$672,G20)</f>
        <v>34.96200018984873</v>
      </c>
      <c r="E20" s="41">
        <f t="shared" si="0"/>
        <v>0.36652378120337609</v>
      </c>
      <c r="F20" s="5"/>
      <c r="G20" s="4">
        <f>MATCH(B20,'Points Summary'!$B$4:$B$673,0)</f>
        <v>90</v>
      </c>
    </row>
    <row r="21" spans="1:11" x14ac:dyDescent="0.2">
      <c r="A21" s="4">
        <v>3</v>
      </c>
      <c r="B21" s="5" t="s">
        <v>487</v>
      </c>
      <c r="C21" s="60">
        <v>4.5393518518518521E-2</v>
      </c>
      <c r="D21" s="6">
        <f>INDEX('Points Summary'!$F$4:$F$672,G21)</f>
        <v>0</v>
      </c>
      <c r="E21" s="41">
        <f t="shared" si="0"/>
        <v>0.4741819647694876</v>
      </c>
      <c r="F21" s="5"/>
      <c r="G21" s="4">
        <f>MATCH(B21,'Points Summary'!$B$4:$B$673,0)</f>
        <v>104</v>
      </c>
    </row>
    <row r="22" spans="1:11" x14ac:dyDescent="0.2">
      <c r="A22" s="4">
        <v>4</v>
      </c>
      <c r="B22" s="5" t="s">
        <v>488</v>
      </c>
      <c r="C22" s="60">
        <v>4.6192129629629632E-2</v>
      </c>
      <c r="D22" s="6">
        <f>INDEX('Points Summary'!$F$4:$F$672,G22)</f>
        <v>0</v>
      </c>
      <c r="E22" s="41">
        <f t="shared" si="0"/>
        <v>0.46598388018690312</v>
      </c>
      <c r="F22" s="5"/>
      <c r="G22" s="4">
        <f>MATCH(B22,'Points Summary'!$B$4:$B$673,0)</f>
        <v>92</v>
      </c>
    </row>
    <row r="23" spans="1:11" x14ac:dyDescent="0.2">
      <c r="A23" s="4">
        <v>3</v>
      </c>
      <c r="B23" s="5" t="s">
        <v>489</v>
      </c>
      <c r="C23" s="60">
        <v>5.2384259259259262E-2</v>
      </c>
      <c r="D23" s="6">
        <f>INDEX('Points Summary'!$F$4:$F$672,G23)</f>
        <v>0</v>
      </c>
      <c r="E23" s="41">
        <f t="shared" si="0"/>
        <v>0.41090182629826122</v>
      </c>
      <c r="F23" s="5"/>
      <c r="G23" s="4">
        <f>MATCH(B23,'Points Summary'!$B$4:$B$673,0)</f>
        <v>152</v>
      </c>
    </row>
    <row r="24" spans="1:11" x14ac:dyDescent="0.2">
      <c r="A24" s="4">
        <v>3</v>
      </c>
      <c r="B24" s="5" t="s">
        <v>490</v>
      </c>
      <c r="C24" s="60">
        <v>4.7754629629629626E-2</v>
      </c>
      <c r="D24" s="6">
        <f>INDEX('Points Summary'!$F$4:$F$672,G24)</f>
        <v>0</v>
      </c>
      <c r="E24" s="41">
        <f t="shared" si="0"/>
        <v>0.45073719481966329</v>
      </c>
      <c r="F24" s="5"/>
      <c r="G24" s="4">
        <f>MATCH(B24,'Points Summary'!$B$4:$B$673,0)</f>
        <v>118</v>
      </c>
    </row>
    <row r="25" spans="1:11" x14ac:dyDescent="0.2">
      <c r="A25" s="4">
        <v>6</v>
      </c>
      <c r="B25" s="5" t="s">
        <v>491</v>
      </c>
      <c r="C25" s="60">
        <v>5.392361111111111E-2</v>
      </c>
      <c r="D25" s="6">
        <f>INDEX('Points Summary'!$F$4:$F$672,G25)</f>
        <v>0</v>
      </c>
      <c r="E25" s="41">
        <f t="shared" si="0"/>
        <v>0.39917185357929397</v>
      </c>
      <c r="F25" s="5"/>
      <c r="G25" s="4">
        <f>MATCH(B25,'Points Summary'!$B$4:$B$673,0)</f>
        <v>73</v>
      </c>
    </row>
    <row r="26" spans="1:11" x14ac:dyDescent="0.2">
      <c r="A26" s="4">
        <v>7</v>
      </c>
      <c r="B26" s="5" t="s">
        <v>492</v>
      </c>
      <c r="C26" s="60">
        <v>5.4120370370370374E-2</v>
      </c>
      <c r="D26" s="6">
        <f>INDEX('Points Summary'!$F$4:$F$672,G26)</f>
        <v>0</v>
      </c>
      <c r="E26" s="41">
        <f t="shared" si="0"/>
        <v>0.39772062998843677</v>
      </c>
      <c r="F26" s="5"/>
      <c r="G26" s="4">
        <f>MATCH(B26,'Points Summary'!$B$4:$B$673,0)</f>
        <v>75</v>
      </c>
    </row>
    <row r="27" spans="1:11" x14ac:dyDescent="0.2">
      <c r="A27" s="4">
        <v>9</v>
      </c>
      <c r="B27" s="5" t="s">
        <v>493</v>
      </c>
      <c r="C27" s="60">
        <v>6.3819444444444443E-2</v>
      </c>
      <c r="D27" s="6">
        <f>INDEX('Points Summary'!$F$4:$F$672,G27)</f>
        <v>0</v>
      </c>
      <c r="E27" s="41">
        <f t="shared" si="0"/>
        <v>0.33727632677292901</v>
      </c>
      <c r="F27" s="5"/>
      <c r="G27" s="4">
        <f>MATCH(B27,'Points Summary'!$B$4:$B$673,0)</f>
        <v>1</v>
      </c>
    </row>
    <row r="28" spans="1:11" x14ac:dyDescent="0.2">
      <c r="A28" s="4">
        <v>10</v>
      </c>
      <c r="B28" s="5" t="s">
        <v>494</v>
      </c>
      <c r="C28" s="60">
        <v>6.7465277777777777E-2</v>
      </c>
      <c r="D28" s="6">
        <f>INDEX('Points Summary'!$F$4:$F$672,G28)</f>
        <v>0</v>
      </c>
      <c r="E28" s="41">
        <f t="shared" si="0"/>
        <v>0.31904986547022313</v>
      </c>
      <c r="F28" s="5"/>
      <c r="G28" s="4">
        <f>MATCH(B28,'Points Summary'!$B$4:$B$673,0)</f>
        <v>46</v>
      </c>
    </row>
    <row r="29" spans="1:11" x14ac:dyDescent="0.2">
      <c r="A29" s="4">
        <v>11</v>
      </c>
      <c r="B29" s="5" t="s">
        <v>495</v>
      </c>
      <c r="C29" s="60">
        <v>6.9803240740740735E-2</v>
      </c>
      <c r="D29" s="6">
        <f>INDEX('Points Summary'!$F$4:$F$672,G29)</f>
        <v>0</v>
      </c>
      <c r="E29" s="41">
        <f t="shared" si="0"/>
        <v>0.30836373169058706</v>
      </c>
      <c r="F29" s="5"/>
      <c r="G29" s="4">
        <f>MATCH(B29,'Points Summary'!$B$4:$B$673,0)</f>
        <v>151</v>
      </c>
    </row>
    <row r="30" spans="1:11" x14ac:dyDescent="0.2">
      <c r="A30" s="4">
        <v>12</v>
      </c>
      <c r="B30" s="5" t="s">
        <v>484</v>
      </c>
      <c r="C30" s="60">
        <v>9.3148148148148147E-2</v>
      </c>
      <c r="D30" s="6">
        <f>INDEX('Points Summary'!$F$4:$F$672,G30)</f>
        <v>0</v>
      </c>
      <c r="E30" s="41">
        <f t="shared" si="0"/>
        <v>0.23108122090282437</v>
      </c>
      <c r="F30" s="5"/>
      <c r="G30" s="4">
        <f>MATCH(B30,'Points Summary'!$B$4:$B$673,0)</f>
        <v>91</v>
      </c>
    </row>
    <row r="31" spans="1:11" x14ac:dyDescent="0.2">
      <c r="A31" s="4"/>
      <c r="B31" s="5"/>
      <c r="C31" s="60"/>
      <c r="D31" s="6"/>
      <c r="E31" s="41"/>
      <c r="F31" s="5"/>
      <c r="G31" s="4"/>
    </row>
  </sheetData>
  <sortState ref="A8:G30">
    <sortCondition descending="1" ref="D8:D30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18"/>
  <sheetViews>
    <sheetView workbookViewId="0">
      <selection activeCell="F5" sqref="F5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496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43168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290" t="s">
        <v>19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264</v>
      </c>
      <c r="C5" s="35"/>
      <c r="D5" s="35"/>
      <c r="E5" s="35" t="s">
        <v>28</v>
      </c>
      <c r="F5" s="52">
        <f>AVERAGE(C8:C10)*(AVERAGE(D8:D10)/100)</f>
        <v>1.5120465090722773E-2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I7" s="4"/>
      <c r="J7" s="4"/>
      <c r="K7" s="4"/>
    </row>
    <row r="8" spans="1:11" x14ac:dyDescent="0.2">
      <c r="A8" s="4">
        <v>13</v>
      </c>
      <c r="B8" s="5" t="s">
        <v>221</v>
      </c>
      <c r="C8" s="40">
        <v>1.5089120370370369E-2</v>
      </c>
      <c r="D8" s="6">
        <f>INDEX('Points Summary'!$F$4:$F$672,G8)</f>
        <v>97.172319392285544</v>
      </c>
      <c r="E8" s="41">
        <f>(AVERAGE($D$8:$D$10)/100*AVERAGE($C$8:$C$10))/C8</f>
        <v>1.0020773060047923</v>
      </c>
      <c r="F8" s="5"/>
      <c r="G8" s="4">
        <f>MATCH(B8,'Points Summary'!$B$4:$B$673,0)</f>
        <v>42</v>
      </c>
      <c r="I8" s="40"/>
      <c r="J8" s="40"/>
      <c r="K8" s="40"/>
    </row>
    <row r="9" spans="1:11" x14ac:dyDescent="0.2">
      <c r="A9" s="4">
        <v>36</v>
      </c>
      <c r="B9" s="5" t="s">
        <v>58</v>
      </c>
      <c r="C9" s="40">
        <v>1.5553240740740742E-2</v>
      </c>
      <c r="D9" s="6">
        <f>INDEX('Points Summary'!$F$4:$F$672,G9)</f>
        <v>99.28871437032133</v>
      </c>
      <c r="E9" s="41">
        <f>(AVERAGE($D$8:$D$10)/100*AVERAGE($C$8:$C$10))/C9</f>
        <v>0.97217456752377396</v>
      </c>
      <c r="F9" s="5"/>
      <c r="G9" s="4">
        <f>MATCH(B9,'Points Summary'!$B$4:$B$673,0)</f>
        <v>41</v>
      </c>
      <c r="I9" s="40"/>
      <c r="J9" s="40"/>
      <c r="K9" s="40"/>
    </row>
    <row r="10" spans="1:11" x14ac:dyDescent="0.2">
      <c r="A10" s="4">
        <v>62</v>
      </c>
      <c r="B10" s="5" t="s">
        <v>247</v>
      </c>
      <c r="C10" s="40">
        <v>1.6116898148148148E-2</v>
      </c>
      <c r="D10" s="6">
        <f>INDEX('Points Summary'!$F$4:$F$672,G10)</f>
        <v>94.570492340017523</v>
      </c>
      <c r="E10" s="41">
        <f t="shared" ref="E10:E11" si="0">(AVERAGE($D$8:$D$10)/100*AVERAGE($C$8:$C$10))/C10</f>
        <v>0.93817463830409165</v>
      </c>
      <c r="F10" s="5"/>
      <c r="G10" s="4">
        <f>MATCH(B10,'Points Summary'!$B$4:$B$673,0)</f>
        <v>40</v>
      </c>
      <c r="I10" s="40"/>
      <c r="J10" s="40"/>
      <c r="K10" s="40"/>
    </row>
    <row r="11" spans="1:11" x14ac:dyDescent="0.2">
      <c r="A11" s="4">
        <v>74</v>
      </c>
      <c r="B11" s="5" t="s">
        <v>249</v>
      </c>
      <c r="C11" s="40">
        <v>1.638310185185185E-2</v>
      </c>
      <c r="D11" s="6">
        <f>INDEX('Points Summary'!$F$4:$F$672,G11)</f>
        <v>94.212884468561555</v>
      </c>
      <c r="E11" s="41">
        <f t="shared" si="0"/>
        <v>0.92293054315679812</v>
      </c>
      <c r="F11" s="5"/>
      <c r="G11" s="4">
        <f>MATCH(B11,'Points Summary'!$B$4:$B$673,0)</f>
        <v>106</v>
      </c>
      <c r="I11" s="40"/>
      <c r="J11" s="40"/>
      <c r="K11" s="40"/>
    </row>
    <row r="12" spans="1:11" x14ac:dyDescent="0.2">
      <c r="A12" s="4"/>
      <c r="B12" s="5"/>
      <c r="C12" s="40"/>
      <c r="D12" s="6"/>
      <c r="E12" s="41"/>
      <c r="F12" s="5"/>
      <c r="G12" s="4"/>
    </row>
    <row r="13" spans="1:11" x14ac:dyDescent="0.2">
      <c r="A13" s="4"/>
      <c r="B13" s="5"/>
      <c r="C13" s="40"/>
      <c r="D13" s="6"/>
      <c r="E13" s="41"/>
      <c r="F13" s="5"/>
      <c r="G13" s="4"/>
    </row>
    <row r="14" spans="1:11" x14ac:dyDescent="0.2">
      <c r="A14" s="4"/>
      <c r="B14" s="5"/>
      <c r="C14" s="40"/>
      <c r="D14" s="40"/>
      <c r="E14" s="40"/>
      <c r="F14" s="5"/>
      <c r="G14" s="4"/>
    </row>
    <row r="15" spans="1:11" x14ac:dyDescent="0.2">
      <c r="A15" s="4"/>
      <c r="B15" s="5"/>
      <c r="C15" s="40"/>
      <c r="D15" s="40"/>
      <c r="E15" s="40"/>
      <c r="F15" s="5"/>
      <c r="G15" s="4"/>
    </row>
    <row r="16" spans="1:11" x14ac:dyDescent="0.2">
      <c r="B16" s="42"/>
      <c r="C16" s="40"/>
      <c r="D16" s="40"/>
      <c r="E16" s="40"/>
      <c r="F16" s="5"/>
      <c r="G16" s="4"/>
    </row>
    <row r="17" spans="2:7" x14ac:dyDescent="0.2">
      <c r="B17" s="5"/>
      <c r="C17" s="40"/>
      <c r="D17" s="6"/>
      <c r="E17" s="41"/>
      <c r="F17" s="5"/>
      <c r="G17" s="4"/>
    </row>
    <row r="18" spans="2:7" x14ac:dyDescent="0.2">
      <c r="B18" s="5"/>
      <c r="C18" s="40"/>
      <c r="D18" s="6"/>
      <c r="E18" s="41"/>
      <c r="F18" s="5"/>
      <c r="G18" s="4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&amp;L&amp;"Tahoma,Bold"&amp;11U.S. Biathlon Association&amp;R&amp;"Tahoma,Bold"&amp;11 2018 Race Points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16"/>
  <sheetViews>
    <sheetView workbookViewId="0">
      <selection activeCell="I11" sqref="I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497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43174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233</v>
      </c>
      <c r="C5" s="35"/>
      <c r="D5" s="35"/>
      <c r="E5" s="35" t="s">
        <v>28</v>
      </c>
      <c r="F5" s="52">
        <f>AVERAGE(C8:C10)*(AVERAGE(D8:D10)/100)</f>
        <v>1.6021330424222022E-2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4</v>
      </c>
      <c r="B8" s="5" t="s">
        <v>58</v>
      </c>
      <c r="C8" s="60">
        <v>1.5364583333333334E-2</v>
      </c>
      <c r="D8" s="6">
        <f>INDEX('Points Summary'!$F$4:$F$672,G8)</f>
        <v>99.28871437032133</v>
      </c>
      <c r="E8" s="41">
        <f>(AVERAGE($D$8:$D$10)/100*AVERAGE($C$8:$C$10))/C8</f>
        <v>1.042744217440891</v>
      </c>
      <c r="F8" s="5"/>
      <c r="G8" s="4">
        <f>MATCH(B8,'Points Summary'!$B$4:$B$673,0)</f>
        <v>41</v>
      </c>
    </row>
    <row r="9" spans="1:7" x14ac:dyDescent="0.2">
      <c r="A9" s="4">
        <v>68</v>
      </c>
      <c r="B9" s="5" t="s">
        <v>221</v>
      </c>
      <c r="C9" s="60">
        <v>1.6858796296296299E-2</v>
      </c>
      <c r="D9" s="6">
        <f>INDEX('Points Summary'!$F$4:$F$672,G9)</f>
        <v>97.172319392285544</v>
      </c>
      <c r="E9" s="41">
        <f>(AVERAGE($D$8:$D$10)/100*AVERAGE($C$8:$C$10))/C9</f>
        <v>0.95032469356912164</v>
      </c>
      <c r="F9" s="5"/>
      <c r="G9" s="4">
        <f>MATCH(B9,'Points Summary'!$B$4:$B$673,0)</f>
        <v>42</v>
      </c>
    </row>
    <row r="10" spans="1:7" x14ac:dyDescent="0.2">
      <c r="A10" s="4">
        <v>83</v>
      </c>
      <c r="B10" s="5" t="s">
        <v>247</v>
      </c>
      <c r="C10" s="40">
        <v>1.7321759259259262E-2</v>
      </c>
      <c r="D10" s="6">
        <f>INDEX('Points Summary'!$F$4:$F$672,G10)</f>
        <v>94.570492340017523</v>
      </c>
      <c r="E10" s="41">
        <f>(AVERAGE($D$8:$D$10)/100*AVERAGE($C$8:$C$10))/C10</f>
        <v>0.9249251293951507</v>
      </c>
      <c r="F10" s="5"/>
      <c r="G10" s="4">
        <f>MATCH(B10,'Points Summary'!$B$4:$B$673,0)</f>
        <v>40</v>
      </c>
    </row>
    <row r="11" spans="1:7" x14ac:dyDescent="0.2">
      <c r="A11" s="4">
        <v>75</v>
      </c>
      <c r="B11" s="5" t="s">
        <v>249</v>
      </c>
      <c r="C11" s="60">
        <v>1.7060185185185185E-2</v>
      </c>
      <c r="D11" s="6">
        <f>INDEX('Points Summary'!$F$4:$F$672,G11)</f>
        <v>94.212884468561555</v>
      </c>
      <c r="E11" s="41">
        <f>(AVERAGE($D$8:$D$10)/100*AVERAGE($C$8:$C$10))/C11</f>
        <v>0.93910647805480507</v>
      </c>
      <c r="F11" s="5"/>
      <c r="G11" s="4">
        <f>MATCH(B11,'Points Summary'!$B$4:$B$673,0)</f>
        <v>106</v>
      </c>
    </row>
    <row r="12" spans="1:7" x14ac:dyDescent="0.2">
      <c r="A12" s="63"/>
      <c r="B12" s="5"/>
      <c r="C12" s="40"/>
      <c r="D12" s="6"/>
      <c r="E12" s="41"/>
      <c r="F12" s="5"/>
      <c r="G12" s="4"/>
    </row>
    <row r="13" spans="1:7" x14ac:dyDescent="0.2">
      <c r="A13" s="63"/>
      <c r="B13" s="5"/>
      <c r="C13" s="60"/>
      <c r="D13" s="60"/>
      <c r="E13" s="60"/>
      <c r="F13" s="60"/>
      <c r="G13" s="4"/>
    </row>
    <row r="14" spans="1:7" x14ac:dyDescent="0.2">
      <c r="A14" s="63"/>
      <c r="B14" s="5"/>
      <c r="C14" s="60"/>
      <c r="D14" s="60"/>
      <c r="E14" s="60"/>
      <c r="F14" s="60"/>
      <c r="G14" s="4"/>
    </row>
    <row r="15" spans="1:7" x14ac:dyDescent="0.2">
      <c r="A15" s="63"/>
      <c r="B15" s="5"/>
      <c r="C15" s="40"/>
      <c r="D15" s="60"/>
      <c r="E15" s="60"/>
      <c r="F15" s="60"/>
      <c r="G15" s="4"/>
    </row>
    <row r="16" spans="1:7" x14ac:dyDescent="0.2">
      <c r="A16" s="63"/>
      <c r="B16" s="5"/>
      <c r="C16" s="40"/>
      <c r="D16" s="6"/>
      <c r="E16" s="41"/>
      <c r="F16" s="5"/>
      <c r="G16" s="4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A8" sqref="A8:G16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498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43169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1.0393355467459783E-2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63">
        <v>1</v>
      </c>
      <c r="B8" s="5" t="s">
        <v>318</v>
      </c>
      <c r="C8" s="40">
        <f>TIME(0,27,45)</f>
        <v>1.9270833333333334E-2</v>
      </c>
      <c r="D8" s="6">
        <f>INDEX('Points Summary'!$F$4:$F$672,G8)</f>
        <v>51.715521055637709</v>
      </c>
      <c r="E8" s="41">
        <f t="shared" ref="E8:E16" si="0">(AVERAGE($D$8:$D$10)/100*AVERAGE($C$8:$C$10))/C8</f>
        <v>0.53933087831142656</v>
      </c>
      <c r="F8" s="5"/>
      <c r="G8" s="4">
        <f>MATCH(B8,'Points Summary'!$B$4:$B$673,0)</f>
        <v>13</v>
      </c>
    </row>
    <row r="9" spans="1:7" x14ac:dyDescent="0.2">
      <c r="A9" s="63">
        <v>2</v>
      </c>
      <c r="B9" s="5" t="s">
        <v>315</v>
      </c>
      <c r="C9" s="40">
        <f>TIME(0,32,15)</f>
        <v>2.2395833333333334E-2</v>
      </c>
      <c r="D9" s="6">
        <f>INDEX('Points Summary'!$F$4:$F$672,G9)</f>
        <v>51.598687384929619</v>
      </c>
      <c r="E9" s="41">
        <f t="shared" si="0"/>
        <v>0.46407540691913446</v>
      </c>
      <c r="F9" s="5"/>
      <c r="G9" s="4">
        <f>MATCH(B9,'Points Summary'!$B$4:$B$673,0)</f>
        <v>141</v>
      </c>
    </row>
    <row r="10" spans="1:7" x14ac:dyDescent="0.2">
      <c r="A10" s="4">
        <v>1</v>
      </c>
      <c r="B10" s="210" t="s">
        <v>94</v>
      </c>
      <c r="C10" s="40">
        <f>TIME(0,28,9)</f>
        <v>1.954861111111111E-2</v>
      </c>
      <c r="D10" s="6">
        <f>INDEX('Points Summary'!$F$4:$F$672,G10)</f>
        <v>49.491108471830572</v>
      </c>
      <c r="E10" s="41">
        <f t="shared" si="0"/>
        <v>0.53166720686117541</v>
      </c>
      <c r="F10" s="5"/>
      <c r="G10" s="4">
        <f>MATCH(B10,'Points Summary'!$B$4:$B$673,0)</f>
        <v>18</v>
      </c>
    </row>
    <row r="11" spans="1:7" x14ac:dyDescent="0.2">
      <c r="A11" s="63">
        <v>3</v>
      </c>
      <c r="B11" s="5" t="s">
        <v>83</v>
      </c>
      <c r="C11" s="40">
        <f>TIME(0,35,21)</f>
        <v>2.4548611111111115E-2</v>
      </c>
      <c r="D11" s="6">
        <f>INDEX('Points Summary'!$F$4:$F$672,G11)</f>
        <v>46.917507946651071</v>
      </c>
      <c r="E11" s="41">
        <f t="shared" si="0"/>
        <v>0.42337855369567423</v>
      </c>
      <c r="F11" s="5"/>
      <c r="G11" s="4">
        <f>MATCH(B11,'Points Summary'!$B$4:$B$673,0)</f>
        <v>6</v>
      </c>
    </row>
    <row r="12" spans="1:7" x14ac:dyDescent="0.2">
      <c r="A12" s="4">
        <v>4</v>
      </c>
      <c r="B12" s="5" t="s">
        <v>316</v>
      </c>
      <c r="C12" s="40">
        <f>TIME(0,56,22)</f>
        <v>3.9143518518518515E-2</v>
      </c>
      <c r="D12" s="6">
        <f>INDEX('Points Summary'!$F$4:$F$672,G12)</f>
        <v>34.070633476673052</v>
      </c>
      <c r="E12" s="41">
        <f t="shared" si="0"/>
        <v>0.26551919349158054</v>
      </c>
      <c r="F12" s="5"/>
      <c r="G12" s="4">
        <f>MATCH(B12,'Points Summary'!$B$4:$B$673,0)</f>
        <v>30</v>
      </c>
    </row>
    <row r="13" spans="1:7" x14ac:dyDescent="0.2">
      <c r="A13" s="4">
        <v>2</v>
      </c>
      <c r="B13" s="5" t="s">
        <v>320</v>
      </c>
      <c r="C13" s="40">
        <f>TIME(1,5,46)</f>
        <v>4.5671296296296293E-2</v>
      </c>
      <c r="D13" s="6">
        <f>INDEX('Points Summary'!$F$4:$F$672,G13)</f>
        <v>24.097152635579665</v>
      </c>
      <c r="E13" s="41">
        <f t="shared" si="0"/>
        <v>0.22756865493880518</v>
      </c>
      <c r="F13" s="5"/>
      <c r="G13" s="4">
        <f>MATCH(B13,'Points Summary'!$B$4:$B$673,0)</f>
        <v>51</v>
      </c>
    </row>
    <row r="14" spans="1:7" x14ac:dyDescent="0.2">
      <c r="A14" s="4">
        <v>1</v>
      </c>
      <c r="B14" s="5" t="s">
        <v>501</v>
      </c>
      <c r="C14" s="40">
        <f>TIME(0,39,17)</f>
        <v>2.7280092592592592E-2</v>
      </c>
      <c r="D14" s="6">
        <f>INDEX('Points Summary'!$F$4:$F$672,G14)</f>
        <v>0</v>
      </c>
      <c r="E14" s="41">
        <f t="shared" si="0"/>
        <v>0.38098681051698141</v>
      </c>
      <c r="F14" s="5"/>
      <c r="G14" s="4">
        <f>MATCH(B14,'Points Summary'!$B$4:$B$673,0)</f>
        <v>154</v>
      </c>
    </row>
    <row r="15" spans="1:7" x14ac:dyDescent="0.2">
      <c r="A15" s="4">
        <v>2</v>
      </c>
      <c r="B15" s="5" t="s">
        <v>502</v>
      </c>
      <c r="C15" s="40">
        <f>TIME(0,40,0)</f>
        <v>2.7777777777777776E-2</v>
      </c>
      <c r="D15" s="6">
        <f>INDEX('Points Summary'!$F$4:$F$672,G15)</f>
        <v>0</v>
      </c>
      <c r="E15" s="41">
        <f t="shared" si="0"/>
        <v>0.37416079682855219</v>
      </c>
      <c r="F15" s="5"/>
      <c r="G15" s="4">
        <f>MATCH(B15,'Points Summary'!$B$4:$B$673,0)</f>
        <v>155</v>
      </c>
    </row>
    <row r="16" spans="1:7" x14ac:dyDescent="0.2">
      <c r="A16" s="4">
        <v>1</v>
      </c>
      <c r="B16" s="5" t="s">
        <v>503</v>
      </c>
      <c r="C16" s="40">
        <f>TIME(0,55,56)</f>
        <v>3.8842592592592588E-2</v>
      </c>
      <c r="D16" s="6">
        <f>INDEX('Points Summary'!$F$4:$F$672,G16)</f>
        <v>0</v>
      </c>
      <c r="E16" s="41">
        <f t="shared" si="0"/>
        <v>0.26757625518132461</v>
      </c>
      <c r="F16" s="5"/>
      <c r="G16" s="4">
        <f>MATCH(B16,'Points Summary'!$B$4:$B$673,0)</f>
        <v>156</v>
      </c>
    </row>
    <row r="17" spans="1:7" x14ac:dyDescent="0.2">
      <c r="A17" s="63"/>
      <c r="B17" s="5"/>
      <c r="C17" s="40"/>
      <c r="D17" s="6"/>
      <c r="E17" s="41"/>
      <c r="F17" s="5"/>
      <c r="G17" s="4"/>
    </row>
    <row r="18" spans="1:7" x14ac:dyDescent="0.2">
      <c r="A18" s="63"/>
      <c r="B18" s="5"/>
      <c r="C18" s="40"/>
      <c r="D18" s="6"/>
      <c r="E18" s="41"/>
      <c r="F18" s="5"/>
      <c r="G18" s="4"/>
    </row>
    <row r="19" spans="1:7" x14ac:dyDescent="0.2">
      <c r="A19" s="63"/>
      <c r="B19" s="5"/>
      <c r="C19" s="40"/>
      <c r="D19" s="6"/>
      <c r="E19" s="41"/>
      <c r="F19" s="5"/>
      <c r="G19" s="4"/>
    </row>
    <row r="20" spans="1:7" x14ac:dyDescent="0.2">
      <c r="A20" s="63"/>
      <c r="B20" s="5"/>
      <c r="C20" s="40"/>
      <c r="D20" s="6"/>
      <c r="E20" s="41"/>
      <c r="F20" s="5"/>
      <c r="G20" s="4"/>
    </row>
    <row r="21" spans="1:7" x14ac:dyDescent="0.2">
      <c r="B21" s="5"/>
      <c r="C21" s="40"/>
      <c r="D21" s="6"/>
      <c r="E21" s="41"/>
      <c r="F21" s="5"/>
      <c r="G21" s="4"/>
    </row>
    <row r="22" spans="1:7" x14ac:dyDescent="0.2">
      <c r="B22" s="5"/>
      <c r="C22" s="40"/>
      <c r="D22" s="6"/>
      <c r="E22" s="41"/>
      <c r="F22" s="5"/>
      <c r="G22" s="4"/>
    </row>
    <row r="23" spans="1:7" x14ac:dyDescent="0.2">
      <c r="B23" s="5"/>
      <c r="C23" s="40"/>
      <c r="D23" s="6"/>
      <c r="E23" s="41"/>
      <c r="F23" s="5"/>
      <c r="G23" s="4"/>
    </row>
    <row r="24" spans="1:7" x14ac:dyDescent="0.2">
      <c r="B24" s="5"/>
      <c r="C24" s="40"/>
      <c r="D24" s="6"/>
      <c r="E24" s="41"/>
      <c r="F24" s="5"/>
      <c r="G24" s="4"/>
    </row>
    <row r="25" spans="1:7" x14ac:dyDescent="0.2">
      <c r="B25" s="5"/>
      <c r="C25" s="40"/>
      <c r="D25" s="6"/>
      <c r="E25" s="41"/>
      <c r="F25" s="5"/>
      <c r="G25" s="4"/>
    </row>
    <row r="26" spans="1:7" x14ac:dyDescent="0.2">
      <c r="B26" s="5"/>
      <c r="C26" s="40"/>
      <c r="D26" s="6"/>
      <c r="E26" s="41"/>
      <c r="F26" s="5"/>
      <c r="G26" s="4"/>
    </row>
    <row r="27" spans="1:7" x14ac:dyDescent="0.2">
      <c r="B27" s="5"/>
      <c r="C27" s="40"/>
      <c r="D27" s="6"/>
      <c r="E27" s="41"/>
      <c r="F27" s="5"/>
      <c r="G27" s="4"/>
    </row>
    <row r="28" spans="1:7" x14ac:dyDescent="0.2">
      <c r="B28" s="5"/>
      <c r="C28" s="40"/>
      <c r="D28" s="6"/>
      <c r="E28" s="41"/>
      <c r="F28" s="5"/>
      <c r="G28" s="4"/>
    </row>
    <row r="29" spans="1:7" x14ac:dyDescent="0.2">
      <c r="B29" s="5"/>
      <c r="C29" s="40"/>
      <c r="D29" s="6"/>
      <c r="E29" s="41"/>
      <c r="F29" s="5"/>
      <c r="G29" s="4"/>
    </row>
    <row r="30" spans="1:7" x14ac:dyDescent="0.2">
      <c r="B30" s="5"/>
      <c r="C30" s="40"/>
      <c r="D30" s="6"/>
      <c r="E30" s="41"/>
      <c r="F30" s="5"/>
      <c r="G30" s="4"/>
    </row>
  </sheetData>
  <sortState ref="A8:G16">
    <sortCondition descending="1" ref="D8:D16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K27"/>
  <sheetViews>
    <sheetView workbookViewId="0">
      <selection activeCell="C5" sqref="C5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499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43170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1.2226783459734306E-2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68">
        <v>1</v>
      </c>
      <c r="B8" s="5" t="s">
        <v>318</v>
      </c>
      <c r="C8" s="40">
        <f>TIME(0,34,10)</f>
        <v>2.372685185185185E-2</v>
      </c>
      <c r="D8" s="6">
        <f>INDEX('Points Summary'!$F$4:$F$672,G8)</f>
        <v>51.715521055637709</v>
      </c>
      <c r="E8" s="67">
        <f>(AVERAGE($D$8:$D$10)/100*AVERAGE($C$8:$C$10))/C8</f>
        <v>0.51531419069319229</v>
      </c>
      <c r="F8" s="5"/>
      <c r="G8" s="4">
        <f>MATCH(B8,'Points Summary'!$B$4:$B$673,0)</f>
        <v>13</v>
      </c>
      <c r="I8" s="289"/>
      <c r="J8" s="40"/>
      <c r="K8" s="40"/>
    </row>
    <row r="9" spans="1:11" x14ac:dyDescent="0.2">
      <c r="A9" s="68">
        <v>2</v>
      </c>
      <c r="B9" s="5" t="s">
        <v>315</v>
      </c>
      <c r="C9" s="40">
        <f>TIME(0,34,39)</f>
        <v>2.4062500000000001E-2</v>
      </c>
      <c r="D9" s="6">
        <f>INDEX('Points Summary'!$F$4:$F$672,G9)</f>
        <v>51.598687384929619</v>
      </c>
      <c r="E9" s="67">
        <f t="shared" ref="E9:E13" si="0">(AVERAGE($D$8:$D$10)/100*AVERAGE($C$8:$C$10))/C9</f>
        <v>0.50812606585908804</v>
      </c>
      <c r="F9" s="5"/>
      <c r="G9" s="4">
        <f>MATCH(B9,'Points Summary'!$B$4:$B$673,0)</f>
        <v>141</v>
      </c>
      <c r="I9" s="289"/>
      <c r="J9" s="40"/>
      <c r="K9" s="40"/>
    </row>
    <row r="10" spans="1:11" x14ac:dyDescent="0.2">
      <c r="A10" s="68">
        <v>1</v>
      </c>
      <c r="B10" s="5" t="s">
        <v>94</v>
      </c>
      <c r="C10" s="40">
        <f>TIME(0,34,53)</f>
        <v>2.4224537037037034E-2</v>
      </c>
      <c r="D10" s="6">
        <f>INDEX('Points Summary'!$F$4:$F$672,G10)</f>
        <v>49.491108471830572</v>
      </c>
      <c r="E10" s="67">
        <f t="shared" si="0"/>
        <v>0.50472722929815772</v>
      </c>
      <c r="F10" s="5"/>
      <c r="G10" s="4">
        <f>MATCH(B10,'Points Summary'!$B$4:$B$673,0)</f>
        <v>18</v>
      </c>
      <c r="I10" s="289"/>
      <c r="J10" s="40"/>
      <c r="K10" s="40"/>
    </row>
    <row r="11" spans="1:11" x14ac:dyDescent="0.2">
      <c r="A11" s="68">
        <v>3</v>
      </c>
      <c r="B11" s="5" t="s">
        <v>83</v>
      </c>
      <c r="C11" s="40">
        <f>TIME(0,37,35)</f>
        <v>2.6099537037037036E-2</v>
      </c>
      <c r="D11" s="6">
        <f>INDEX('Points Summary'!$F$4:$F$672,G11)</f>
        <v>46.917507946651071</v>
      </c>
      <c r="E11" s="67">
        <f t="shared" si="0"/>
        <v>0.46846744608472024</v>
      </c>
      <c r="F11" s="5"/>
      <c r="G11" s="4">
        <f>MATCH(B11,'Points Summary'!$B$4:$B$673,0)</f>
        <v>6</v>
      </c>
      <c r="I11" s="289"/>
    </row>
    <row r="12" spans="1:11" x14ac:dyDescent="0.2">
      <c r="A12" s="4">
        <v>4</v>
      </c>
      <c r="B12" s="5" t="s">
        <v>316</v>
      </c>
      <c r="C12" s="40">
        <f>TIME(0,57,7)</f>
        <v>3.9664351851851853E-2</v>
      </c>
      <c r="D12" s="6">
        <f>INDEX('Points Summary'!$F$4:$F$672,G12)</f>
        <v>34.070633476673052</v>
      </c>
      <c r="E12" s="67">
        <f t="shared" si="0"/>
        <v>0.30825622728947882</v>
      </c>
      <c r="F12" s="5"/>
      <c r="G12" s="4">
        <f>MATCH(B12,'Points Summary'!$B$4:$B$673,0)</f>
        <v>30</v>
      </c>
    </row>
    <row r="13" spans="1:11" x14ac:dyDescent="0.2">
      <c r="A13" s="4">
        <v>1</v>
      </c>
      <c r="B13" s="5" t="s">
        <v>500</v>
      </c>
      <c r="C13" s="40">
        <f>TIME(0,42,2)</f>
        <v>2.9189814814814811E-2</v>
      </c>
      <c r="D13" s="6">
        <f>INDEX('Points Summary'!$F$4:$F$672,G13)</f>
        <v>0</v>
      </c>
      <c r="E13" s="67">
        <f t="shared" si="0"/>
        <v>0.41887156658249175</v>
      </c>
      <c r="F13" s="5"/>
      <c r="G13" s="4">
        <f>MATCH(B13,'Points Summary'!$B$4:$B$673,0)</f>
        <v>153</v>
      </c>
    </row>
    <row r="14" spans="1:11" x14ac:dyDescent="0.2">
      <c r="A14" s="68"/>
      <c r="B14" s="5"/>
      <c r="C14" s="40"/>
      <c r="D14" s="6"/>
      <c r="E14" s="41"/>
      <c r="F14" s="5"/>
      <c r="G14" s="4"/>
    </row>
    <row r="15" spans="1:11" x14ac:dyDescent="0.2">
      <c r="A15" s="68"/>
      <c r="B15" s="5"/>
      <c r="C15" s="40"/>
      <c r="D15" s="6"/>
      <c r="E15" s="41"/>
      <c r="F15" s="5"/>
      <c r="G15" s="4"/>
    </row>
    <row r="16" spans="1:11" x14ac:dyDescent="0.2">
      <c r="A16" s="68"/>
      <c r="B16" s="5"/>
      <c r="C16" s="40"/>
      <c r="D16" s="6"/>
      <c r="E16" s="41"/>
      <c r="F16" s="5"/>
      <c r="G16" s="4"/>
    </row>
    <row r="17" spans="1:7" x14ac:dyDescent="0.2">
      <c r="A17" s="68"/>
      <c r="B17" s="5"/>
      <c r="C17" s="40"/>
      <c r="D17" s="6"/>
      <c r="E17" s="41"/>
      <c r="F17" s="5"/>
      <c r="G17" s="4"/>
    </row>
    <row r="18" spans="1:7" x14ac:dyDescent="0.2">
      <c r="B18" s="5"/>
      <c r="C18" s="40"/>
      <c r="D18" s="6"/>
      <c r="E18" s="41"/>
      <c r="F18" s="5"/>
      <c r="G18" s="4"/>
    </row>
    <row r="19" spans="1:7" x14ac:dyDescent="0.2">
      <c r="B19" s="5"/>
      <c r="C19" s="40"/>
      <c r="D19" s="6"/>
      <c r="E19" s="41"/>
      <c r="F19" s="5"/>
      <c r="G19" s="4"/>
    </row>
    <row r="20" spans="1:7" x14ac:dyDescent="0.2">
      <c r="B20" s="5"/>
      <c r="C20" s="40"/>
      <c r="D20" s="6"/>
      <c r="E20" s="41"/>
      <c r="F20" s="5"/>
      <c r="G20" s="4"/>
    </row>
    <row r="21" spans="1:7" x14ac:dyDescent="0.2">
      <c r="B21" s="5"/>
      <c r="C21" s="40"/>
      <c r="D21" s="6"/>
      <c r="E21" s="41"/>
      <c r="F21" s="5"/>
      <c r="G21" s="4"/>
    </row>
    <row r="22" spans="1:7" x14ac:dyDescent="0.2">
      <c r="B22" s="5"/>
      <c r="C22" s="40"/>
      <c r="D22" s="6"/>
      <c r="E22" s="41"/>
      <c r="F22" s="5"/>
      <c r="G22" s="4"/>
    </row>
    <row r="23" spans="1:7" x14ac:dyDescent="0.2">
      <c r="B23" s="5"/>
      <c r="C23" s="40"/>
      <c r="D23" s="6"/>
      <c r="E23" s="41"/>
      <c r="F23" s="5"/>
      <c r="G23" s="4"/>
    </row>
    <row r="24" spans="1:7" x14ac:dyDescent="0.2">
      <c r="B24" s="5"/>
      <c r="C24" s="40"/>
      <c r="D24" s="6"/>
      <c r="E24" s="41"/>
      <c r="F24" s="5"/>
      <c r="G24" s="4"/>
    </row>
    <row r="25" spans="1:7" x14ac:dyDescent="0.2">
      <c r="B25" s="5"/>
      <c r="C25" s="40"/>
      <c r="D25" s="6"/>
      <c r="E25" s="41"/>
      <c r="F25" s="5"/>
      <c r="G25" s="4"/>
    </row>
    <row r="26" spans="1:7" x14ac:dyDescent="0.2">
      <c r="B26" s="5"/>
      <c r="C26" s="40"/>
      <c r="D26" s="6"/>
      <c r="E26" s="41"/>
      <c r="F26" s="5"/>
      <c r="G26" s="4"/>
    </row>
    <row r="27" spans="1:7" x14ac:dyDescent="0.2">
      <c r="B27" s="5"/>
      <c r="C27" s="40"/>
      <c r="D27" s="6"/>
      <c r="E27" s="41"/>
      <c r="F27" s="5"/>
      <c r="G27" s="4"/>
    </row>
  </sheetData>
  <sortState ref="A8:G13">
    <sortCondition descending="1" ref="D8:D13"/>
  </sortState>
  <phoneticPr fontId="0" type="noConversion"/>
  <hyperlinks>
    <hyperlink ref="B13" r:id="rId1" display="http://services.biathlonresults.com/athletes.aspx?IbuId=BTUSA22401199001" xr:uid="{00000000-0004-0000-3A00-000000000000}"/>
  </hyperlinks>
  <printOptions horizontalCentered="1"/>
  <pageMargins left="0.75" right="0.75" top="1" bottom="1" header="0.5" footer="0.5"/>
  <pageSetup orientation="portrait" horizontalDpi="300" verticalDpi="300" r:id="rId2"/>
  <headerFooter alignWithMargins="0">
    <oddHeader>&amp;L&amp;"Tahoma,Bold"&amp;11U.S. Biathlon Association&amp;R&amp;"Tahoma,Bold"&amp;11 2018 Race Points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"/>
  <sheetViews>
    <sheetView zoomScaleNormal="100" workbookViewId="0">
      <selection activeCell="C8" sqref="C8"/>
    </sheetView>
  </sheetViews>
  <sheetFormatPr defaultRowHeight="12.75" x14ac:dyDescent="0.2"/>
  <cols>
    <col min="2" max="2" width="20.7109375" customWidth="1"/>
    <col min="3" max="7" width="9.7109375" customWidth="1"/>
  </cols>
  <sheetData>
    <row r="1" spans="1:7" x14ac:dyDescent="0.2">
      <c r="A1" s="29" t="s">
        <v>10</v>
      </c>
      <c r="B1" s="30" t="s">
        <v>338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43077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285</v>
      </c>
      <c r="C5" s="35"/>
      <c r="D5" s="35"/>
      <c r="E5" s="35" t="s">
        <v>28</v>
      </c>
      <c r="F5" s="51">
        <f>AVERAGE(C8:C10)*(AVERAGE(D8:D10)/100)</f>
        <v>1.728600754857525E-2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5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97</v>
      </c>
      <c r="B8" s="5" t="s">
        <v>58</v>
      </c>
      <c r="C8" s="66">
        <v>1.9133101851851849E-2</v>
      </c>
      <c r="D8" s="6">
        <f>INDEX('Points Summary'!$H$4:$H$672,G8)</f>
        <v>100.00151622905494</v>
      </c>
      <c r="E8" s="41">
        <f>(AVERAGE($D$8:$D$10)/100*AVERAGE($C$8:$C$10))/C8</f>
        <v>0.90346080224844338</v>
      </c>
      <c r="F8" s="5"/>
      <c r="G8" s="4">
        <f>MATCH(B8,'Points Summary'!$B$4:$B$673,0)</f>
        <v>41</v>
      </c>
    </row>
    <row r="9" spans="1:7" x14ac:dyDescent="0.2">
      <c r="A9" s="4">
        <v>35</v>
      </c>
      <c r="B9" s="5" t="s">
        <v>221</v>
      </c>
      <c r="C9" s="66">
        <v>1.7086805555555556E-2</v>
      </c>
      <c r="D9" s="6">
        <f>INDEX('Points Summary'!$H$4:$H$672,G9)</f>
        <v>95.598613577506455</v>
      </c>
      <c r="E9" s="41">
        <f t="shared" ref="E9:E10" si="0">(AVERAGE($D$8:$D$10)/100*AVERAGE($C$8:$C$10))/C9</f>
        <v>1.0116582349095045</v>
      </c>
      <c r="F9" s="5"/>
      <c r="G9" s="4">
        <f>MATCH(B9,'Points Summary'!$B$4:$B$673,0)</f>
        <v>42</v>
      </c>
    </row>
    <row r="10" spans="1:7" x14ac:dyDescent="0.2">
      <c r="A10" s="4">
        <v>89</v>
      </c>
      <c r="B10" s="5" t="s">
        <v>247</v>
      </c>
      <c r="C10" s="66">
        <v>1.8394675925925925E-2</v>
      </c>
      <c r="D10" s="6">
        <f>INDEX('Points Summary'!$H$4:$H$672,G10)</f>
        <v>89.257976658611497</v>
      </c>
      <c r="E10" s="41">
        <f t="shared" si="0"/>
        <v>0.93972884426911318</v>
      </c>
      <c r="F10" s="5"/>
      <c r="G10" s="4">
        <f>MATCH(B10,'Points Summary'!$B$4:$B$673,0)</f>
        <v>40</v>
      </c>
    </row>
    <row r="11" spans="1:7" x14ac:dyDescent="0.2">
      <c r="A11" s="4"/>
      <c r="B11" s="5"/>
      <c r="C11" s="66"/>
      <c r="D11" s="6"/>
      <c r="E11" s="41"/>
      <c r="F11" s="5"/>
      <c r="G11" s="4"/>
    </row>
    <row r="12" spans="1:7" x14ac:dyDescent="0.2">
      <c r="A12" s="4"/>
      <c r="B12" s="5"/>
      <c r="C12" s="66"/>
      <c r="D12" s="6"/>
      <c r="E12" s="41"/>
      <c r="F12" s="5"/>
      <c r="G12" s="4"/>
    </row>
    <row r="13" spans="1:7" x14ac:dyDescent="0.2">
      <c r="A13" s="4"/>
      <c r="B13" s="5"/>
      <c r="C13" s="66"/>
      <c r="D13" s="6"/>
      <c r="E13" s="41"/>
      <c r="F13" s="5"/>
      <c r="G13" s="4"/>
    </row>
    <row r="14" spans="1:7" x14ac:dyDescent="0.2">
      <c r="B14" s="5"/>
      <c r="D14" s="6"/>
      <c r="E14" s="41"/>
      <c r="F14" s="5"/>
      <c r="G14" s="4"/>
    </row>
  </sheetData>
  <sortState ref="A8:D11">
    <sortCondition descending="1" ref="D8:D11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21"/>
  <sheetViews>
    <sheetView workbookViewId="0">
      <selection activeCell="G24" sqref="G24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8" x14ac:dyDescent="0.2">
      <c r="A1" s="29" t="s">
        <v>10</v>
      </c>
      <c r="B1" s="30" t="s">
        <v>504</v>
      </c>
      <c r="C1" s="31"/>
      <c r="D1" s="31"/>
      <c r="E1" s="31"/>
      <c r="F1" s="31"/>
      <c r="G1" s="32"/>
    </row>
    <row r="2" spans="1:8" x14ac:dyDescent="0.2">
      <c r="A2" s="33" t="s">
        <v>11</v>
      </c>
      <c r="B2" s="34">
        <v>43181</v>
      </c>
      <c r="C2" s="35"/>
      <c r="D2" s="35"/>
      <c r="E2" s="35"/>
      <c r="F2" s="35"/>
      <c r="G2" s="36"/>
    </row>
    <row r="3" spans="1:8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8" x14ac:dyDescent="0.2">
      <c r="A4" s="33" t="s">
        <v>1</v>
      </c>
      <c r="B4" s="37" t="s">
        <v>505</v>
      </c>
      <c r="C4" s="35"/>
      <c r="D4" s="35"/>
      <c r="E4" s="35"/>
      <c r="F4" s="35"/>
      <c r="G4" s="36"/>
    </row>
    <row r="5" spans="1:8" x14ac:dyDescent="0.2">
      <c r="A5" s="33" t="s">
        <v>14</v>
      </c>
      <c r="B5" s="37" t="s">
        <v>506</v>
      </c>
      <c r="C5" s="35"/>
      <c r="D5" s="35"/>
      <c r="E5" s="35" t="s">
        <v>28</v>
      </c>
      <c r="F5" s="52">
        <f>AVERAGE(C8:C9)*(AVERAGE(D8:D9)/100)</f>
        <v>9.7424148593768627E-3</v>
      </c>
      <c r="G5" s="36"/>
    </row>
    <row r="6" spans="1:8" x14ac:dyDescent="0.2">
      <c r="A6" s="38" t="s">
        <v>15</v>
      </c>
      <c r="B6" s="28"/>
      <c r="C6" s="28"/>
      <c r="D6" s="28"/>
      <c r="E6" s="28"/>
      <c r="F6" s="28"/>
      <c r="G6" s="39"/>
    </row>
    <row r="7" spans="1:8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8" x14ac:dyDescent="0.2">
      <c r="A8" s="4">
        <v>6</v>
      </c>
      <c r="B8" s="304" t="s">
        <v>332</v>
      </c>
      <c r="C8" s="60">
        <f>TIME(0,32,28.9)</f>
        <v>2.2546296296296297E-2</v>
      </c>
      <c r="D8" s="6">
        <f>INDEX('Points Summary'!$F$4:$F$672,G8)</f>
        <v>43.882962061927408</v>
      </c>
      <c r="E8" s="67">
        <f>(AVERAGE($D$8:$D$9)/100*AVERAGE($C$8:$C$9))/C8</f>
        <v>0.43210710669926122</v>
      </c>
      <c r="F8" s="5"/>
      <c r="G8" s="4">
        <f>MATCH(B8,'Points Summary'!$B$4:$B$673,0)</f>
        <v>117</v>
      </c>
      <c r="H8" s="305"/>
    </row>
    <row r="9" spans="1:8" x14ac:dyDescent="0.2">
      <c r="A9" s="4">
        <v>1</v>
      </c>
      <c r="B9" s="306" t="s">
        <v>318</v>
      </c>
      <c r="C9" s="60">
        <f>TIME(0,26,14.6)</f>
        <v>1.8217592592592594E-2</v>
      </c>
      <c r="D9" s="6">
        <f>INDEX('Points Summary'!$F$4:$F$672,G9)</f>
        <v>51.715521055637709</v>
      </c>
      <c r="E9" s="67">
        <f t="shared" ref="E9:E10" si="0">(AVERAGE($D$8:$D$9)/100*AVERAGE($C$8:$C$9))/C9</f>
        <v>0.53478058694419373</v>
      </c>
      <c r="F9" s="5"/>
      <c r="G9" s="4">
        <f>MATCH(B9,'Points Summary'!$B$4:$B$673,0)</f>
        <v>13</v>
      </c>
      <c r="H9" s="307"/>
    </row>
    <row r="10" spans="1:8" x14ac:dyDescent="0.2">
      <c r="A10" s="4">
        <v>5</v>
      </c>
      <c r="B10" s="306" t="s">
        <v>507</v>
      </c>
      <c r="C10" s="60">
        <f>TIME(0,31,33.3)</f>
        <v>2.1909722222222223E-2</v>
      </c>
      <c r="D10" s="6">
        <f>INDEX('Points Summary'!$F$4:$F$672,G10)</f>
        <v>0</v>
      </c>
      <c r="E10" s="67">
        <f t="shared" si="0"/>
        <v>0.44466172416807231</v>
      </c>
      <c r="F10" s="5"/>
      <c r="G10" s="4">
        <f>MATCH(B10,'Points Summary'!$B$4:$B$673,0)</f>
        <v>29</v>
      </c>
      <c r="H10" s="307"/>
    </row>
    <row r="11" spans="1:8" x14ac:dyDescent="0.2">
      <c r="A11" s="4"/>
      <c r="B11" s="5"/>
      <c r="C11" s="60"/>
      <c r="D11" s="6"/>
      <c r="E11" s="41"/>
      <c r="F11" s="5"/>
      <c r="G11" s="4"/>
    </row>
    <row r="12" spans="1:8" x14ac:dyDescent="0.2">
      <c r="A12" s="4"/>
      <c r="B12" s="5"/>
      <c r="C12" s="60"/>
      <c r="D12" s="6"/>
      <c r="E12" s="41"/>
      <c r="F12" s="5"/>
      <c r="G12" s="4"/>
    </row>
    <row r="13" spans="1:8" x14ac:dyDescent="0.2">
      <c r="A13" s="63"/>
      <c r="B13" s="5"/>
      <c r="C13" s="60"/>
      <c r="D13" s="60"/>
      <c r="E13" s="60"/>
      <c r="F13" s="60"/>
      <c r="G13" s="4"/>
    </row>
    <row r="14" spans="1:8" x14ac:dyDescent="0.2">
      <c r="A14" s="63"/>
      <c r="B14" s="42"/>
      <c r="C14" s="60"/>
      <c r="D14" s="60"/>
      <c r="E14" s="60"/>
      <c r="F14" s="60"/>
      <c r="G14" s="4"/>
    </row>
    <row r="15" spans="1:8" x14ac:dyDescent="0.2">
      <c r="A15" s="63"/>
      <c r="B15" s="5"/>
      <c r="C15" s="60"/>
      <c r="D15" s="60"/>
      <c r="E15" s="60"/>
      <c r="F15" s="60"/>
      <c r="G15" s="4"/>
    </row>
    <row r="16" spans="1:8" x14ac:dyDescent="0.2">
      <c r="A16" s="63"/>
      <c r="B16" s="5"/>
      <c r="C16" s="40"/>
      <c r="D16" s="6"/>
      <c r="E16" s="41"/>
      <c r="F16" s="5"/>
      <c r="G16" s="4"/>
    </row>
    <row r="17" spans="1:7" x14ac:dyDescent="0.2">
      <c r="A17" s="63"/>
      <c r="B17" s="42"/>
      <c r="C17" s="40"/>
      <c r="D17" s="6"/>
      <c r="E17" s="41"/>
      <c r="F17" s="5"/>
      <c r="G17" s="4"/>
    </row>
    <row r="18" spans="1:7" x14ac:dyDescent="0.2">
      <c r="A18" s="63"/>
      <c r="B18" s="5"/>
      <c r="C18" s="40"/>
      <c r="D18" s="6"/>
      <c r="E18" s="41"/>
      <c r="F18" s="5"/>
      <c r="G18" s="4"/>
    </row>
    <row r="19" spans="1:7" x14ac:dyDescent="0.2">
      <c r="A19" s="63"/>
      <c r="B19" s="5"/>
      <c r="C19" s="40"/>
      <c r="D19" s="6"/>
      <c r="E19" s="41"/>
      <c r="F19" s="5"/>
      <c r="G19" s="4"/>
    </row>
    <row r="20" spans="1:7" x14ac:dyDescent="0.2">
      <c r="A20" s="63"/>
      <c r="B20" s="5"/>
      <c r="C20" s="40"/>
      <c r="D20" s="6"/>
      <c r="E20" s="41"/>
      <c r="F20" s="5"/>
      <c r="G20" s="4"/>
    </row>
    <row r="21" spans="1:7" x14ac:dyDescent="0.2">
      <c r="B21" s="5"/>
      <c r="C21" s="40"/>
      <c r="D21" s="6"/>
      <c r="E21" s="41"/>
      <c r="F21" s="5"/>
      <c r="G21" s="4"/>
    </row>
  </sheetData>
  <sortState ref="A8:G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24"/>
  <sheetViews>
    <sheetView workbookViewId="0">
      <selection activeCell="B16" sqref="B16:B17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508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43188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1.5644441603767621E-2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68">
        <v>1</v>
      </c>
      <c r="B8" s="306" t="s">
        <v>58</v>
      </c>
      <c r="C8" s="60">
        <f>TIME(0,22,45)</f>
        <v>1.579861111111111E-2</v>
      </c>
      <c r="D8" s="6">
        <f>INDEX('Points Summary'!$F$4:$F$672,G8)</f>
        <v>99.28871437032133</v>
      </c>
      <c r="E8" s="67">
        <f>(AVERAGE($D$8:$D$10)/100*AVERAGE($C$8:$C$10))/C8</f>
        <v>0.99024157843628025</v>
      </c>
      <c r="F8" s="5"/>
      <c r="G8" s="4">
        <f>MATCH(B8,'Points Summary'!$B$4:$B$673,0)</f>
        <v>41</v>
      </c>
      <c r="I8" s="40"/>
      <c r="J8" s="40"/>
      <c r="K8" s="50"/>
    </row>
    <row r="9" spans="1:11" x14ac:dyDescent="0.2">
      <c r="A9" s="68">
        <v>2</v>
      </c>
      <c r="B9" s="306" t="s">
        <v>221</v>
      </c>
      <c r="C9" s="60">
        <f>TIME(0,22,56)</f>
        <v>1.5925925925925927E-2</v>
      </c>
      <c r="D9" s="6">
        <f>INDEX('Points Summary'!$F$4:$F$672,G9)</f>
        <v>97.172319392285544</v>
      </c>
      <c r="E9" s="67">
        <f t="shared" ref="E9:E17" si="0">(AVERAGE($D$8:$D$10)/100*AVERAGE($C$8:$C$10))/C9</f>
        <v>0.98232540302726923</v>
      </c>
      <c r="F9" s="5"/>
      <c r="G9" s="4">
        <f>MATCH(B9,'Points Summary'!$B$4:$B$673,0)</f>
        <v>42</v>
      </c>
      <c r="I9" s="40"/>
      <c r="J9" s="40"/>
      <c r="K9" s="50"/>
    </row>
    <row r="10" spans="1:11" x14ac:dyDescent="0.2">
      <c r="A10" s="63">
        <v>4</v>
      </c>
      <c r="B10" s="5" t="s">
        <v>247</v>
      </c>
      <c r="C10" s="60">
        <f>TIME(0,23,59)</f>
        <v>1.6655092592592593E-2</v>
      </c>
      <c r="D10" s="6">
        <f>INDEX('Points Summary'!$F$4:$F$672,G10)</f>
        <v>94.570492340017523</v>
      </c>
      <c r="E10" s="67">
        <f t="shared" si="0"/>
        <v>0.93931880094893849</v>
      </c>
      <c r="F10" s="5"/>
      <c r="G10" s="4">
        <f>MATCH(B10,'Points Summary'!$B$4:$B$673,0)</f>
        <v>40</v>
      </c>
      <c r="I10" s="40"/>
      <c r="J10" s="40"/>
      <c r="K10" s="50"/>
    </row>
    <row r="11" spans="1:11" x14ac:dyDescent="0.2">
      <c r="A11" s="68">
        <v>3</v>
      </c>
      <c r="B11" s="5" t="s">
        <v>249</v>
      </c>
      <c r="C11" s="60">
        <f>TIME(0,23,45)</f>
        <v>1.6493055555555556E-2</v>
      </c>
      <c r="D11" s="6">
        <f>INDEX('Points Summary'!$F$4:$F$672,G11)</f>
        <v>94.212884468561555</v>
      </c>
      <c r="E11" s="67">
        <f t="shared" si="0"/>
        <v>0.94854719618633154</v>
      </c>
      <c r="F11" s="5"/>
      <c r="G11" s="4">
        <f>MATCH(B11,'Points Summary'!$B$4:$B$673,0)</f>
        <v>106</v>
      </c>
      <c r="I11" s="40"/>
      <c r="J11" s="40"/>
      <c r="K11" s="50"/>
    </row>
    <row r="12" spans="1:11" x14ac:dyDescent="0.2">
      <c r="A12" s="63">
        <v>6</v>
      </c>
      <c r="B12" s="5" t="s">
        <v>216</v>
      </c>
      <c r="C12" s="60">
        <f>TIME(0,26,43)</f>
        <v>1.8553240740740742E-2</v>
      </c>
      <c r="D12" s="6">
        <f>INDEX('Points Summary'!$F$4:$F$672,G12)</f>
        <v>93.181593215393349</v>
      </c>
      <c r="E12" s="67">
        <f t="shared" si="0"/>
        <v>0.84321881133220367</v>
      </c>
      <c r="F12" s="5"/>
      <c r="G12" s="4">
        <f>MATCH(B12,'Points Summary'!$B$4:$B$673,0)</f>
        <v>101</v>
      </c>
      <c r="I12" s="40"/>
      <c r="J12" s="40"/>
      <c r="K12" s="50"/>
    </row>
    <row r="13" spans="1:11" x14ac:dyDescent="0.2">
      <c r="A13" s="4">
        <v>5</v>
      </c>
      <c r="B13" s="5" t="s">
        <v>345</v>
      </c>
      <c r="C13" s="60">
        <f>TIME(0,25,18)</f>
        <v>1.7569444444444447E-2</v>
      </c>
      <c r="D13" s="6">
        <f>INDEX('Points Summary'!$F$4:$F$672,G13)</f>
        <v>87.124655385669783</v>
      </c>
      <c r="E13" s="67">
        <f t="shared" si="0"/>
        <v>0.89043462092590397</v>
      </c>
      <c r="F13" s="5"/>
      <c r="G13" s="4">
        <f>MATCH(B13,'Points Summary'!$B$4:$B$673,0)</f>
        <v>71</v>
      </c>
    </row>
    <row r="14" spans="1:11" x14ac:dyDescent="0.2">
      <c r="A14" s="68">
        <v>7</v>
      </c>
      <c r="B14" s="5" t="s">
        <v>259</v>
      </c>
      <c r="C14" s="60">
        <f>TIME(0,26,54)</f>
        <v>1.8680555555555554E-2</v>
      </c>
      <c r="D14" s="6">
        <f>INDEX('Points Summary'!$F$4:$F$672,G14)</f>
        <v>85.59089880914452</v>
      </c>
      <c r="E14" s="67">
        <f t="shared" si="0"/>
        <v>0.83747196689313663</v>
      </c>
      <c r="F14" s="5"/>
      <c r="G14" s="4">
        <f>MATCH(B14,'Points Summary'!$B$4:$B$673,0)</f>
        <v>57</v>
      </c>
    </row>
    <row r="15" spans="1:11" x14ac:dyDescent="0.2">
      <c r="A15" s="4">
        <v>9</v>
      </c>
      <c r="B15" s="5" t="s">
        <v>347</v>
      </c>
      <c r="C15" s="60">
        <f>TIME(0,29,33)</f>
        <v>2.0520833333333332E-2</v>
      </c>
      <c r="D15" s="6">
        <f>INDEX('Points Summary'!$F$4:$F$672,G15)</f>
        <v>80.359598428014465</v>
      </c>
      <c r="E15" s="67">
        <f t="shared" si="0"/>
        <v>0.76236872789933596</v>
      </c>
      <c r="F15" s="5"/>
      <c r="G15" s="4">
        <f>MATCH(B15,'Points Summary'!$B$4:$B$673,0)</f>
        <v>128</v>
      </c>
    </row>
    <row r="16" spans="1:11" x14ac:dyDescent="0.2">
      <c r="A16" s="68">
        <v>8</v>
      </c>
      <c r="B16" s="5" t="s">
        <v>509</v>
      </c>
      <c r="C16" s="60">
        <f>TIME(0,27,47)</f>
        <v>1.9293981481481485E-2</v>
      </c>
      <c r="D16" s="6">
        <f>INDEX('Points Summary'!$F$4:$F$672,G16)</f>
        <v>0</v>
      </c>
      <c r="E16" s="67">
        <f t="shared" si="0"/>
        <v>0.81084568360259279</v>
      </c>
      <c r="F16" s="5"/>
      <c r="G16" s="4">
        <f>MATCH(B16,'Points Summary'!$B$4:$B$673,0)</f>
        <v>157</v>
      </c>
    </row>
    <row r="17" spans="1:7" x14ac:dyDescent="0.2">
      <c r="A17" s="68">
        <v>10</v>
      </c>
      <c r="B17" s="5" t="s">
        <v>510</v>
      </c>
      <c r="C17" s="60">
        <f>TIME(0,34,23)</f>
        <v>2.3877314814814813E-2</v>
      </c>
      <c r="D17" s="6">
        <f>INDEX('Points Summary'!$F$4:$F$672,G17)</f>
        <v>0</v>
      </c>
      <c r="E17" s="67">
        <f t="shared" si="0"/>
        <v>0.65520104438464499</v>
      </c>
      <c r="F17" s="5"/>
      <c r="G17" s="4">
        <f>MATCH(B17,'Points Summary'!$B$4:$B$673,0)</f>
        <v>158</v>
      </c>
    </row>
    <row r="18" spans="1:7" x14ac:dyDescent="0.2">
      <c r="A18" s="63"/>
      <c r="B18" s="5"/>
      <c r="C18" s="40"/>
      <c r="D18" s="6"/>
      <c r="E18" s="41"/>
      <c r="F18" s="5"/>
      <c r="G18" s="4"/>
    </row>
    <row r="19" spans="1:7" x14ac:dyDescent="0.2">
      <c r="A19" s="63"/>
      <c r="B19" s="5"/>
      <c r="C19" s="40"/>
      <c r="D19" s="6"/>
      <c r="E19" s="41"/>
      <c r="F19" s="5"/>
      <c r="G19" s="4"/>
    </row>
    <row r="20" spans="1:7" x14ac:dyDescent="0.2">
      <c r="A20" s="63"/>
      <c r="B20" s="5"/>
      <c r="C20" s="40"/>
      <c r="D20" s="6"/>
      <c r="E20" s="41"/>
      <c r="F20" s="5"/>
      <c r="G20" s="4"/>
    </row>
    <row r="21" spans="1:7" x14ac:dyDescent="0.2">
      <c r="B21" s="5"/>
      <c r="C21" s="40"/>
      <c r="D21" s="6"/>
      <c r="E21" s="41"/>
      <c r="F21" s="5"/>
      <c r="G21" s="4"/>
    </row>
    <row r="22" spans="1:7" x14ac:dyDescent="0.2">
      <c r="C22" s="40"/>
      <c r="D22" s="6"/>
      <c r="E22" s="41"/>
      <c r="F22" s="5"/>
      <c r="G22" s="4"/>
    </row>
    <row r="23" spans="1:7" x14ac:dyDescent="0.2">
      <c r="C23" s="40"/>
      <c r="D23" s="6"/>
      <c r="E23" s="41"/>
      <c r="F23" s="5"/>
      <c r="G23" s="4"/>
    </row>
    <row r="24" spans="1:7" x14ac:dyDescent="0.2">
      <c r="B24" s="42"/>
      <c r="C24" s="40"/>
      <c r="D24" s="6"/>
      <c r="E24" s="41"/>
      <c r="F24" s="5"/>
      <c r="G24" s="4"/>
    </row>
  </sheetData>
  <sortState ref="A8:G17">
    <sortCondition descending="1" ref="D8:D17"/>
  </sortState>
  <phoneticPr fontId="0" type="noConversion"/>
  <hyperlinks>
    <hyperlink ref="B8" r:id="rId1" display="http://services.biathlonresults.com/athletes.aspx?IbuId=BTUSA22401199001" xr:uid="{00000000-0004-0000-3C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>&amp;L&amp;"Tahoma,Bold"&amp;11U.S. Biathlon Association&amp;R&amp;"Tahoma,Bold"&amp;11 2018 Race Points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2"/>
  <sheetViews>
    <sheetView workbookViewId="0">
      <selection activeCell="B9" sqref="B9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508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43188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1.1731670580307657E-2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5</v>
      </c>
      <c r="B8" s="5" t="s">
        <v>245</v>
      </c>
      <c r="C8" s="60">
        <f>TIME(0,24,40)</f>
        <v>1.712962962962963E-2</v>
      </c>
      <c r="D8" s="6">
        <f>INDEX('Points Summary'!$F$4:$F$672,G8)</f>
        <v>74.046015962152183</v>
      </c>
      <c r="E8" s="67">
        <f t="shared" ref="E8:E21" si="0">(AVERAGE($D$8:$D$10)/100*AVERAGE($C$8:$C$10))/C8</f>
        <v>0.68487590414769028</v>
      </c>
      <c r="F8" s="5"/>
      <c r="G8" s="4">
        <f>MATCH(B8,'Points Summary'!$B$4:$B$673,0)</f>
        <v>142</v>
      </c>
      <c r="I8" s="63"/>
    </row>
    <row r="9" spans="1:9" x14ac:dyDescent="0.2">
      <c r="A9" s="4">
        <v>4</v>
      </c>
      <c r="B9" s="5" t="s">
        <v>242</v>
      </c>
      <c r="C9" s="60">
        <f>TIME(0,23,19)</f>
        <v>1.6192129629629629E-2</v>
      </c>
      <c r="D9" s="6">
        <f>INDEX('Points Summary'!$F$4:$F$672,G9)</f>
        <v>70.939536977561588</v>
      </c>
      <c r="E9" s="67">
        <f t="shared" si="0"/>
        <v>0.72452919094966517</v>
      </c>
      <c r="F9" s="5"/>
      <c r="G9" s="4">
        <f>MATCH(B9,'Points Summary'!$B$4:$B$673,0)</f>
        <v>54</v>
      </c>
      <c r="I9" s="63"/>
    </row>
    <row r="10" spans="1:9" x14ac:dyDescent="0.2">
      <c r="A10" s="4">
        <v>2</v>
      </c>
      <c r="B10" s="5" t="s">
        <v>243</v>
      </c>
      <c r="C10" s="60">
        <f>TIME(0,22,28)</f>
        <v>1.5601851851851851E-2</v>
      </c>
      <c r="D10" s="6">
        <f>INDEX('Points Summary'!$F$4:$F$672,G10)</f>
        <v>70.830558800225518</v>
      </c>
      <c r="E10" s="67">
        <f t="shared" si="0"/>
        <v>0.7519409036636362</v>
      </c>
      <c r="F10" s="5"/>
      <c r="G10" s="4">
        <f>MATCH(B10,'Points Summary'!$B$4:$B$673,0)</f>
        <v>120</v>
      </c>
      <c r="I10" s="63"/>
    </row>
    <row r="11" spans="1:9" x14ac:dyDescent="0.2">
      <c r="A11" s="4">
        <v>1</v>
      </c>
      <c r="B11" s="5" t="s">
        <v>451</v>
      </c>
      <c r="C11" s="60">
        <f>TIME(0,21,44)</f>
        <v>1.5092592592592593E-2</v>
      </c>
      <c r="D11" s="6">
        <f>INDEX('Points Summary'!$F$4:$F$672,G11)</f>
        <v>70.481290318598795</v>
      </c>
      <c r="E11" s="67">
        <f t="shared" si="0"/>
        <v>0.77731314274431096</v>
      </c>
      <c r="F11" s="5"/>
      <c r="G11" s="4">
        <f>MATCH(B11,'Points Summary'!$B$4:$B$673,0)</f>
        <v>85</v>
      </c>
      <c r="I11" s="63"/>
    </row>
    <row r="12" spans="1:9" x14ac:dyDescent="0.2">
      <c r="A12" s="4">
        <v>6</v>
      </c>
      <c r="B12" s="5" t="s">
        <v>253</v>
      </c>
      <c r="C12" s="60">
        <f>TIME(0,24,59)</f>
        <v>1.7349537037037038E-2</v>
      </c>
      <c r="D12" s="6">
        <f>INDEX('Points Summary'!$F$4:$F$672,G12)</f>
        <v>68.776933489945691</v>
      </c>
      <c r="E12" s="67">
        <f t="shared" si="0"/>
        <v>0.67619502210712579</v>
      </c>
      <c r="F12" s="5"/>
      <c r="G12" s="4">
        <f>MATCH(B12,'Points Summary'!$B$4:$B$673,0)</f>
        <v>10</v>
      </c>
      <c r="I12" s="63"/>
    </row>
    <row r="13" spans="1:9" x14ac:dyDescent="0.2">
      <c r="A13" s="4">
        <v>3</v>
      </c>
      <c r="B13" s="5" t="s">
        <v>252</v>
      </c>
      <c r="C13" s="60">
        <f>TIME(0,22,49)</f>
        <v>1.5844907407407408E-2</v>
      </c>
      <c r="D13" s="6">
        <f>INDEX('Points Summary'!$F$4:$F$672,G13)</f>
        <v>67.727863216770146</v>
      </c>
      <c r="E13" s="67">
        <f t="shared" si="0"/>
        <v>0.74040638286236782</v>
      </c>
      <c r="F13" s="5"/>
      <c r="G13" s="4">
        <f>MATCH(B13,'Points Summary'!$B$4:$B$673,0)</f>
        <v>147</v>
      </c>
      <c r="I13" s="63"/>
    </row>
    <row r="14" spans="1:9" x14ac:dyDescent="0.2">
      <c r="A14" s="4">
        <v>1</v>
      </c>
      <c r="B14" s="5" t="s">
        <v>47</v>
      </c>
      <c r="C14" s="60">
        <f>TIME(0,27,50)</f>
        <v>1.9328703703703702E-2</v>
      </c>
      <c r="D14" s="6">
        <f>INDEX('Points Summary'!$F$4:$F$672,G14)</f>
        <v>64.00084554229889</v>
      </c>
      <c r="E14" s="67">
        <f t="shared" si="0"/>
        <v>0.60695589110094716</v>
      </c>
      <c r="F14" s="5"/>
      <c r="G14" s="4">
        <f>MATCH(B14,'Points Summary'!$B$4:$B$673,0)</f>
        <v>19</v>
      </c>
      <c r="I14" s="63"/>
    </row>
    <row r="15" spans="1:9" x14ac:dyDescent="0.2">
      <c r="A15" s="4">
        <v>8</v>
      </c>
      <c r="B15" s="5" t="s">
        <v>364</v>
      </c>
      <c r="C15" s="60">
        <f>TIME(0,28,39)</f>
        <v>1.9895833333333331E-2</v>
      </c>
      <c r="D15" s="6">
        <f>INDEX('Points Summary'!$F$4:$F$672,G15)</f>
        <v>63.975184384617123</v>
      </c>
      <c r="E15" s="67">
        <f t="shared" si="0"/>
        <v>0.58965464696834302</v>
      </c>
      <c r="F15" s="5"/>
      <c r="G15" s="4">
        <f>MATCH(B15,'Points Summary'!$B$4:$B$673,0)</f>
        <v>20</v>
      </c>
      <c r="I15" s="63"/>
    </row>
    <row r="16" spans="1:9" x14ac:dyDescent="0.2">
      <c r="A16" s="4">
        <v>5</v>
      </c>
      <c r="B16" s="5" t="s">
        <v>310</v>
      </c>
      <c r="C16" s="60">
        <f>TIME(0,31,40)</f>
        <v>2.1990740740740741E-2</v>
      </c>
      <c r="D16" s="6">
        <f>INDEX('Points Summary'!$F$4:$F$672,G16)</f>
        <v>53.048121598438328</v>
      </c>
      <c r="E16" s="67">
        <f t="shared" si="0"/>
        <v>0.53348228323083235</v>
      </c>
      <c r="F16" s="5"/>
      <c r="G16" s="4">
        <f>MATCH(B16,'Points Summary'!$B$4:$B$673,0)</f>
        <v>4</v>
      </c>
      <c r="I16" s="63"/>
    </row>
    <row r="17" spans="1:9" x14ac:dyDescent="0.2">
      <c r="A17" s="4">
        <v>3</v>
      </c>
      <c r="B17" s="5" t="s">
        <v>312</v>
      </c>
      <c r="C17" s="60">
        <f>TIME(0,30,50)</f>
        <v>2.1412037037037035E-2</v>
      </c>
      <c r="D17" s="6">
        <f>INDEX('Points Summary'!$F$4:$F$672,G17)</f>
        <v>52.452932111557999</v>
      </c>
      <c r="E17" s="67">
        <f t="shared" si="0"/>
        <v>0.54790072331815232</v>
      </c>
      <c r="F17" s="5"/>
      <c r="G17" s="4">
        <f>MATCH(B17,'Points Summary'!$B$4:$B$673,0)</f>
        <v>66</v>
      </c>
      <c r="I17" s="63"/>
    </row>
    <row r="18" spans="1:9" x14ac:dyDescent="0.2">
      <c r="A18" s="4">
        <v>4</v>
      </c>
      <c r="B18" s="5" t="s">
        <v>257</v>
      </c>
      <c r="C18" s="60">
        <f>TIME(0,31,25)</f>
        <v>2.1817129629629631E-2</v>
      </c>
      <c r="D18" s="6">
        <f>INDEX('Points Summary'!$F$4:$F$672,G18)</f>
        <v>51.715521055637709</v>
      </c>
      <c r="E18" s="67">
        <f t="shared" si="0"/>
        <v>0.53772750033877004</v>
      </c>
      <c r="F18" s="5"/>
      <c r="G18" s="4">
        <f>MATCH(B18,'Points Summary'!$B$4:$B$673,0)</f>
        <v>13</v>
      </c>
      <c r="I18" s="63"/>
    </row>
    <row r="19" spans="1:9" x14ac:dyDescent="0.2">
      <c r="A19" s="4">
        <v>2</v>
      </c>
      <c r="B19" s="5" t="s">
        <v>64</v>
      </c>
      <c r="C19" s="60">
        <f>TIME(0,29,38)</f>
        <v>2.0578703703703703E-2</v>
      </c>
      <c r="D19" s="6">
        <f>INDEX('Points Summary'!$F$4:$F$672,G19)</f>
        <v>46.917507946651071</v>
      </c>
      <c r="E19" s="67">
        <f t="shared" si="0"/>
        <v>0.57008792921180074</v>
      </c>
      <c r="F19" s="5"/>
      <c r="G19" s="4">
        <f>MATCH(B19,'Points Summary'!$B$4:$B$673,0)</f>
        <v>6</v>
      </c>
      <c r="I19" s="63"/>
    </row>
    <row r="20" spans="1:9" x14ac:dyDescent="0.2">
      <c r="A20" s="4">
        <v>7</v>
      </c>
      <c r="B20" s="5" t="s">
        <v>511</v>
      </c>
      <c r="C20" s="60">
        <f>TIME(0,26,2)</f>
        <v>1.8078703703703704E-2</v>
      </c>
      <c r="D20" s="6">
        <f>INDEX('Points Summary'!$F$4:$F$672,G20)</f>
        <v>0</v>
      </c>
      <c r="E20" s="67">
        <f t="shared" si="0"/>
        <v>0.64892211148436718</v>
      </c>
      <c r="F20" s="5"/>
      <c r="G20" s="4">
        <f>MATCH(B20,'Points Summary'!$B$4:$B$673,0)</f>
        <v>159</v>
      </c>
      <c r="I20" s="63"/>
    </row>
    <row r="21" spans="1:9" x14ac:dyDescent="0.2">
      <c r="A21" s="4">
        <v>9</v>
      </c>
      <c r="B21" s="5" t="s">
        <v>512</v>
      </c>
      <c r="C21" s="60">
        <f>TIME(0,51,12)</f>
        <v>3.5555555555555556E-2</v>
      </c>
      <c r="D21" s="6">
        <f>INDEX('Points Summary'!$F$4:$F$672,G21)</f>
        <v>0</v>
      </c>
      <c r="E21" s="67">
        <f t="shared" si="0"/>
        <v>0.32995323507115287</v>
      </c>
      <c r="F21" s="5"/>
      <c r="G21" s="4">
        <f>MATCH(B21,'Points Summary'!$B$4:$B$673,0)</f>
        <v>160</v>
      </c>
      <c r="I21" s="63"/>
    </row>
    <row r="22" spans="1:9" x14ac:dyDescent="0.2">
      <c r="A22" s="63"/>
      <c r="C22" s="60"/>
      <c r="D22" s="6"/>
      <c r="E22" s="67"/>
      <c r="F22" s="5"/>
      <c r="G22" s="4"/>
      <c r="I22" s="63"/>
    </row>
    <row r="23" spans="1:9" x14ac:dyDescent="0.2">
      <c r="A23" s="63"/>
      <c r="C23" s="60"/>
      <c r="D23" s="6"/>
      <c r="E23" s="67"/>
      <c r="F23" s="5"/>
      <c r="G23" s="4"/>
      <c r="I23" s="63"/>
    </row>
    <row r="24" spans="1:9" x14ac:dyDescent="0.2">
      <c r="A24" s="63"/>
      <c r="C24" s="60"/>
      <c r="D24" s="6"/>
      <c r="E24" s="67"/>
      <c r="F24" s="5"/>
      <c r="G24" s="4"/>
      <c r="I24" s="63"/>
    </row>
    <row r="25" spans="1:9" x14ac:dyDescent="0.2">
      <c r="A25" s="63"/>
      <c r="C25" s="60"/>
      <c r="D25" s="6"/>
      <c r="E25" s="67"/>
      <c r="F25" s="5"/>
      <c r="G25" s="4"/>
      <c r="I25" s="63"/>
    </row>
    <row r="26" spans="1:9" x14ac:dyDescent="0.2">
      <c r="A26" s="63"/>
      <c r="C26" s="60"/>
      <c r="D26" s="6"/>
      <c r="E26" s="67"/>
      <c r="F26" s="5"/>
      <c r="G26" s="4"/>
      <c r="I26" s="63"/>
    </row>
    <row r="27" spans="1:9" x14ac:dyDescent="0.2">
      <c r="A27" s="63"/>
      <c r="C27" s="60"/>
      <c r="D27" s="6"/>
      <c r="E27" s="67"/>
      <c r="F27" s="5"/>
      <c r="G27" s="4"/>
      <c r="I27" s="63"/>
    </row>
    <row r="28" spans="1:9" x14ac:dyDescent="0.2">
      <c r="A28" s="63"/>
      <c r="C28" s="60"/>
      <c r="D28" s="6"/>
      <c r="E28" s="67"/>
      <c r="F28" s="5"/>
      <c r="G28" s="4"/>
      <c r="I28" s="63"/>
    </row>
    <row r="29" spans="1:9" x14ac:dyDescent="0.2">
      <c r="A29" s="63"/>
      <c r="C29" s="60"/>
      <c r="D29" s="6"/>
      <c r="E29" s="67"/>
      <c r="F29" s="5"/>
      <c r="G29" s="4"/>
      <c r="I29" s="63"/>
    </row>
    <row r="30" spans="1:9" x14ac:dyDescent="0.2">
      <c r="A30" s="63"/>
      <c r="C30" s="60"/>
      <c r="D30" s="6"/>
      <c r="E30" s="67"/>
      <c r="F30" s="5"/>
      <c r="G30" s="4"/>
      <c r="I30" s="63"/>
    </row>
    <row r="31" spans="1:9" x14ac:dyDescent="0.2">
      <c r="A31" s="63"/>
      <c r="C31" s="60"/>
      <c r="D31" s="6"/>
      <c r="E31" s="67"/>
      <c r="F31" s="5"/>
      <c r="G31" s="4"/>
      <c r="I31" s="63"/>
    </row>
    <row r="32" spans="1:9" x14ac:dyDescent="0.2">
      <c r="A32" s="63"/>
      <c r="C32" s="60"/>
      <c r="D32" s="6"/>
      <c r="E32" s="67"/>
      <c r="F32" s="5"/>
      <c r="G32" s="4"/>
      <c r="I32" s="63"/>
    </row>
  </sheetData>
  <sortState ref="A8:G19">
    <sortCondition descending="1" ref="D8:D19"/>
  </sortState>
  <hyperlinks>
    <hyperlink ref="B11" r:id="rId1" display="http://services.biathlonresults.com/athletes.aspx?IbuId=BTUSA22401199001" xr:uid="{00000000-0004-0000-3D00-000000000000}"/>
  </hyperlinks>
  <printOptions horizontalCentered="1"/>
  <pageMargins left="0.7" right="0.7" top="0.75" bottom="0.75" header="0.3" footer="0.3"/>
  <pageSetup orientation="portrait" horizontalDpi="1200" verticalDpi="1200" r:id="rId2"/>
  <headerFooter>
    <oddHeader>&amp;L&amp;"Tahoma,Bold"&amp;11U.S. Biathlon Association&amp;R&amp;"Tahoma,Bold"&amp;11 2018 Race Points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29"/>
  <sheetViews>
    <sheetView workbookViewId="0">
      <selection activeCell="B1" sqref="B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 t="s">
        <v>508</v>
      </c>
      <c r="C1" s="31"/>
      <c r="D1" s="31"/>
      <c r="E1" s="31"/>
      <c r="F1" s="31"/>
      <c r="G1" s="32"/>
    </row>
    <row r="2" spans="1:11" x14ac:dyDescent="0.2">
      <c r="A2" s="33" t="s">
        <v>11</v>
      </c>
      <c r="B2" s="34">
        <v>43189</v>
      </c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2.249281462926379E-2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63">
        <v>1</v>
      </c>
      <c r="B8" s="5" t="s">
        <v>58</v>
      </c>
      <c r="C8" s="60">
        <v>2.2327546296296293E-2</v>
      </c>
      <c r="D8" s="6">
        <f>INDEX('Points Summary'!$F$4:$F$672,G8)</f>
        <v>99.28871437032133</v>
      </c>
      <c r="E8" s="67">
        <f t="shared" ref="E8:E17" si="0">(AVERAGE($D$8:$D$10)/100*AVERAGE($C$8:$C$10))/C8</f>
        <v>1.0074019926226696</v>
      </c>
      <c r="F8" s="5"/>
      <c r="G8" s="4">
        <f>MATCH(B8,'Points Summary'!$B$4:$B$673,0)</f>
        <v>41</v>
      </c>
      <c r="I8" s="40"/>
      <c r="J8" s="40"/>
      <c r="K8" s="40"/>
    </row>
    <row r="9" spans="1:11" x14ac:dyDescent="0.2">
      <c r="A9" s="4">
        <v>2</v>
      </c>
      <c r="B9" s="5" t="s">
        <v>221</v>
      </c>
      <c r="C9" s="60">
        <v>2.3133101851851853E-2</v>
      </c>
      <c r="D9" s="6">
        <f>INDEX('Points Summary'!$F$4:$F$672,G9)</f>
        <v>97.172319392285544</v>
      </c>
      <c r="E9" s="67">
        <f t="shared" si="0"/>
        <v>0.97232160102486187</v>
      </c>
      <c r="F9" s="5"/>
      <c r="G9" s="4">
        <f>MATCH(B9,'Points Summary'!$B$4:$B$673,0)</f>
        <v>42</v>
      </c>
      <c r="I9" s="40"/>
      <c r="J9" s="40"/>
      <c r="K9" s="40"/>
    </row>
    <row r="10" spans="1:11" x14ac:dyDescent="0.2">
      <c r="A10" s="68">
        <v>3</v>
      </c>
      <c r="B10" s="5" t="s">
        <v>247</v>
      </c>
      <c r="C10" s="60">
        <v>2.4097222222222225E-2</v>
      </c>
      <c r="D10" s="6">
        <f>INDEX('Points Summary'!$F$4:$F$672,G10)</f>
        <v>94.570492340017523</v>
      </c>
      <c r="E10" s="67">
        <f t="shared" si="0"/>
        <v>0.93341939671872776</v>
      </c>
      <c r="F10" s="5"/>
      <c r="G10" s="4">
        <f>MATCH(B10,'Points Summary'!$B$4:$B$673,0)</f>
        <v>40</v>
      </c>
    </row>
    <row r="11" spans="1:11" x14ac:dyDescent="0.2">
      <c r="A11" s="63">
        <v>4</v>
      </c>
      <c r="B11" s="5" t="s">
        <v>249</v>
      </c>
      <c r="C11" s="60">
        <v>2.4630787037037038E-2</v>
      </c>
      <c r="D11" s="6">
        <f>INDEX('Points Summary'!$F$4:$F$672,G11)</f>
        <v>94.212884468561555</v>
      </c>
      <c r="E11" s="67">
        <f t="shared" si="0"/>
        <v>0.91319918423400748</v>
      </c>
      <c r="F11" s="5"/>
      <c r="G11" s="4">
        <f>MATCH(B11,'Points Summary'!$B$4:$B$673,0)</f>
        <v>106</v>
      </c>
    </row>
    <row r="12" spans="1:11" x14ac:dyDescent="0.2">
      <c r="A12" s="68">
        <v>6</v>
      </c>
      <c r="B12" s="5" t="s">
        <v>216</v>
      </c>
      <c r="C12" s="60">
        <v>2.6424768518518521E-2</v>
      </c>
      <c r="D12" s="6">
        <f>INDEX('Points Summary'!$F$4:$F$672,G12)</f>
        <v>93.181593215393349</v>
      </c>
      <c r="E12" s="67">
        <f t="shared" si="0"/>
        <v>0.8512019552224569</v>
      </c>
      <c r="F12" s="5"/>
      <c r="G12" s="4">
        <f>MATCH(B12,'Points Summary'!$B$4:$B$673,0)</f>
        <v>101</v>
      </c>
    </row>
    <row r="13" spans="1:11" x14ac:dyDescent="0.2">
      <c r="A13" s="4">
        <v>5</v>
      </c>
      <c r="B13" s="5" t="s">
        <v>345</v>
      </c>
      <c r="C13" s="60">
        <v>2.6255787037037032E-2</v>
      </c>
      <c r="D13" s="6">
        <f>INDEX('Points Summary'!$F$4:$F$672,G13)</f>
        <v>87.124655385669783</v>
      </c>
      <c r="E13" s="67">
        <f t="shared" si="0"/>
        <v>0.85668026624130122</v>
      </c>
      <c r="F13" s="5"/>
      <c r="G13" s="4">
        <f>MATCH(B13,'Points Summary'!$B$4:$B$673,0)</f>
        <v>71</v>
      </c>
    </row>
    <row r="14" spans="1:11" x14ac:dyDescent="0.2">
      <c r="A14" s="68">
        <v>7</v>
      </c>
      <c r="B14" s="42" t="s">
        <v>259</v>
      </c>
      <c r="C14" s="60">
        <v>2.6730324074074076E-2</v>
      </c>
      <c r="D14" s="6">
        <f>INDEX('Points Summary'!$F$4:$F$672,G14)</f>
        <v>85.59089880914452</v>
      </c>
      <c r="E14" s="67">
        <f t="shared" si="0"/>
        <v>0.84147182678865173</v>
      </c>
      <c r="F14" s="5"/>
      <c r="G14" s="4">
        <f>MATCH(B14,'Points Summary'!$B$4:$B$673,0)</f>
        <v>57</v>
      </c>
    </row>
    <row r="15" spans="1:11" x14ac:dyDescent="0.2">
      <c r="A15" s="63">
        <v>8</v>
      </c>
      <c r="B15" s="5" t="s">
        <v>347</v>
      </c>
      <c r="C15" s="60">
        <v>2.7331018518518518E-2</v>
      </c>
      <c r="D15" s="6">
        <f>INDEX('Points Summary'!$F$4:$F$672,G15)</f>
        <v>80.359598428014465</v>
      </c>
      <c r="E15" s="67">
        <f t="shared" si="0"/>
        <v>0.82297754889827712</v>
      </c>
      <c r="F15" s="5"/>
      <c r="G15" s="4">
        <f>MATCH(B15,'Points Summary'!$B$4:$B$673,0)</f>
        <v>128</v>
      </c>
    </row>
    <row r="16" spans="1:11" x14ac:dyDescent="0.2">
      <c r="A16" s="63">
        <v>9</v>
      </c>
      <c r="B16" s="5" t="s">
        <v>509</v>
      </c>
      <c r="C16" s="60">
        <v>3.0909722222222224E-2</v>
      </c>
      <c r="D16" s="6">
        <f>INDEX('Points Summary'!$F$4:$F$672,G16)</f>
        <v>0</v>
      </c>
      <c r="E16" s="67">
        <f t="shared" si="0"/>
        <v>0.72769384556593697</v>
      </c>
      <c r="F16" s="5"/>
      <c r="G16" s="4">
        <f>MATCH(B16,'Points Summary'!$B$4:$B$673,0)</f>
        <v>157</v>
      </c>
    </row>
    <row r="17" spans="1:7" x14ac:dyDescent="0.2">
      <c r="A17" s="63">
        <v>10</v>
      </c>
      <c r="B17" s="5" t="s">
        <v>510</v>
      </c>
      <c r="C17" s="60">
        <v>3.4731481481481481E-2</v>
      </c>
      <c r="D17" s="6">
        <f>INDEX('Points Summary'!$F$4:$F$672,G17)</f>
        <v>0</v>
      </c>
      <c r="E17" s="67">
        <f t="shared" si="0"/>
        <v>0.64762036255944799</v>
      </c>
      <c r="F17" s="5"/>
      <c r="G17" s="4">
        <f>MATCH(B17,'Points Summary'!$B$4:$B$673,0)</f>
        <v>158</v>
      </c>
    </row>
    <row r="18" spans="1:7" x14ac:dyDescent="0.2">
      <c r="A18" s="63"/>
      <c r="C18" s="60"/>
      <c r="D18" s="6"/>
      <c r="E18" s="67"/>
      <c r="F18" s="5"/>
      <c r="G18" s="4"/>
    </row>
    <row r="19" spans="1:7" x14ac:dyDescent="0.2">
      <c r="A19" s="63"/>
      <c r="B19" s="5"/>
      <c r="C19" s="60"/>
      <c r="D19" s="6"/>
      <c r="E19" s="67"/>
      <c r="F19" s="5"/>
      <c r="G19" s="4"/>
    </row>
    <row r="20" spans="1:7" x14ac:dyDescent="0.2">
      <c r="A20" s="63"/>
      <c r="B20" s="5"/>
      <c r="C20" s="60"/>
      <c r="D20" s="6"/>
      <c r="E20" s="67"/>
      <c r="F20" s="5"/>
      <c r="G20" s="4"/>
    </row>
    <row r="21" spans="1:7" x14ac:dyDescent="0.2">
      <c r="A21" s="63"/>
      <c r="C21" s="60"/>
      <c r="D21" s="6"/>
      <c r="E21" s="67"/>
      <c r="F21" s="5"/>
      <c r="G21" s="4"/>
    </row>
    <row r="22" spans="1:7" x14ac:dyDescent="0.2">
      <c r="A22" s="63"/>
      <c r="B22" s="5"/>
      <c r="C22" s="60"/>
      <c r="D22" s="6"/>
      <c r="E22" s="67"/>
      <c r="F22" s="5"/>
      <c r="G22" s="4"/>
    </row>
    <row r="23" spans="1:7" x14ac:dyDescent="0.2">
      <c r="A23" s="63"/>
      <c r="B23" s="5"/>
      <c r="C23" s="60"/>
      <c r="D23" s="6"/>
      <c r="E23" s="67"/>
      <c r="F23" s="5"/>
      <c r="G23" s="4"/>
    </row>
    <row r="24" spans="1:7" x14ac:dyDescent="0.2">
      <c r="A24" s="63"/>
      <c r="B24" s="5"/>
      <c r="C24" s="60"/>
      <c r="D24" s="6"/>
      <c r="E24" s="67"/>
      <c r="F24" s="5"/>
      <c r="G24" s="4"/>
    </row>
    <row r="25" spans="1:7" x14ac:dyDescent="0.2">
      <c r="A25" s="63"/>
      <c r="C25" s="60"/>
      <c r="D25" s="6"/>
      <c r="E25" s="67"/>
      <c r="F25" s="5"/>
      <c r="G25" s="4"/>
    </row>
    <row r="26" spans="1:7" x14ac:dyDescent="0.2">
      <c r="A26" s="63"/>
      <c r="C26" s="60"/>
      <c r="D26" s="6"/>
      <c r="E26" s="67"/>
      <c r="F26" s="5"/>
      <c r="G26" s="4"/>
    </row>
    <row r="27" spans="1:7" x14ac:dyDescent="0.2">
      <c r="A27" s="63"/>
      <c r="C27" s="60"/>
      <c r="D27" s="6"/>
      <c r="E27" s="67"/>
      <c r="F27" s="5"/>
      <c r="G27" s="4"/>
    </row>
    <row r="28" spans="1:7" x14ac:dyDescent="0.2">
      <c r="A28" s="63"/>
      <c r="C28" s="60"/>
      <c r="D28" s="6"/>
      <c r="E28" s="67"/>
      <c r="F28" s="5"/>
      <c r="G28" s="4"/>
    </row>
    <row r="29" spans="1:7" x14ac:dyDescent="0.2">
      <c r="A29" s="63"/>
      <c r="C29" s="60"/>
      <c r="D29" s="6"/>
      <c r="E29" s="67"/>
      <c r="F29" s="5"/>
      <c r="G29" s="4"/>
    </row>
  </sheetData>
  <sortState ref="A8:G17">
    <sortCondition descending="1" ref="D8:D17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1"/>
  <sheetViews>
    <sheetView zoomScaleNormal="100" workbookViewId="0">
      <selection activeCell="B11" sqref="B11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508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43189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513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463</v>
      </c>
      <c r="C5" s="35"/>
      <c r="D5" s="35"/>
      <c r="E5" s="35" t="s">
        <v>28</v>
      </c>
      <c r="F5" s="52">
        <f>AVERAGE(C8:C10)*(AVERAGE(D8:D10)/100)</f>
        <v>1.3634216164126181E-2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68">
        <v>5</v>
      </c>
      <c r="B8" s="5" t="s">
        <v>245</v>
      </c>
      <c r="C8" s="60">
        <v>1.9706018518518519E-2</v>
      </c>
      <c r="D8" s="6">
        <f>INDEX('Points Summary'!$F$4:$F$672,G8)</f>
        <v>74.046015962152183</v>
      </c>
      <c r="E8" s="67">
        <f t="shared" ref="E8:E20" si="0">(AVERAGE($D$8:$D$10)/100*AVERAGE($C$8:$C$10))/C8</f>
        <v>0.69188081556472569</v>
      </c>
      <c r="F8" s="5"/>
      <c r="G8" s="4">
        <f>MATCH(B8,'Points Summary'!$B$4:$B$673,0)</f>
        <v>142</v>
      </c>
    </row>
    <row r="9" spans="1:7" x14ac:dyDescent="0.2">
      <c r="A9" s="68">
        <v>3</v>
      </c>
      <c r="B9" s="5" t="s">
        <v>242</v>
      </c>
      <c r="C9" s="60">
        <v>1.8623842592592595E-2</v>
      </c>
      <c r="D9" s="6">
        <f>INDEX('Points Summary'!$F$4:$F$672,G9)</f>
        <v>70.939536977561588</v>
      </c>
      <c r="E9" s="67">
        <f t="shared" si="0"/>
        <v>0.73208394542321908</v>
      </c>
      <c r="F9" s="5"/>
      <c r="G9" s="4">
        <f>MATCH(B9,'Points Summary'!$B$4:$B$673,0)</f>
        <v>54</v>
      </c>
    </row>
    <row r="10" spans="1:7" x14ac:dyDescent="0.2">
      <c r="A10" s="68">
        <v>2</v>
      </c>
      <c r="B10" s="5" t="s">
        <v>243</v>
      </c>
      <c r="C10" s="60">
        <v>1.8527777777777778E-2</v>
      </c>
      <c r="D10" s="6">
        <f>INDEX('Points Summary'!$F$4:$F$672,G10)</f>
        <v>70.830558800225518</v>
      </c>
      <c r="E10" s="67">
        <f t="shared" si="0"/>
        <v>0.73587973299631559</v>
      </c>
      <c r="F10" s="5"/>
      <c r="G10" s="4">
        <f>MATCH(B10,'Points Summary'!$B$4:$B$673,0)</f>
        <v>120</v>
      </c>
    </row>
    <row r="11" spans="1:7" x14ac:dyDescent="0.2">
      <c r="A11" s="68">
        <v>1</v>
      </c>
      <c r="B11" s="5" t="s">
        <v>451</v>
      </c>
      <c r="C11" s="60">
        <v>1.8167824074074072E-2</v>
      </c>
      <c r="D11" s="6">
        <f>INDEX('Points Summary'!$F$4:$F$672,G11)</f>
        <v>70.481290318598795</v>
      </c>
      <c r="E11" s="67">
        <f t="shared" si="0"/>
        <v>0.75045949963719316</v>
      </c>
      <c r="F11" s="5"/>
      <c r="G11" s="4">
        <f>MATCH(B11,'Points Summary'!$B$4:$B$673,0)</f>
        <v>85</v>
      </c>
    </row>
    <row r="12" spans="1:7" x14ac:dyDescent="0.2">
      <c r="A12" s="68">
        <v>6</v>
      </c>
      <c r="B12" s="5" t="s">
        <v>253</v>
      </c>
      <c r="C12" s="60">
        <v>2.0111111111111111E-2</v>
      </c>
      <c r="D12" s="6">
        <f>INDEX('Points Summary'!$F$4:$F$672,G12)</f>
        <v>68.776933489945691</v>
      </c>
      <c r="E12" s="67">
        <f t="shared" si="0"/>
        <v>0.67794445014992055</v>
      </c>
      <c r="F12" s="5"/>
      <c r="G12" s="4">
        <f>MATCH(B12,'Points Summary'!$B$4:$B$673,0)</f>
        <v>10</v>
      </c>
    </row>
    <row r="13" spans="1:7" x14ac:dyDescent="0.2">
      <c r="A13" s="68">
        <v>4</v>
      </c>
      <c r="B13" s="5" t="s">
        <v>252</v>
      </c>
      <c r="C13" s="60">
        <v>1.9408564814814816E-2</v>
      </c>
      <c r="D13" s="6">
        <f>INDEX('Points Summary'!$F$4:$F$672,G13)</f>
        <v>67.727863216770146</v>
      </c>
      <c r="E13" s="67">
        <f t="shared" si="0"/>
        <v>0.7024845110504514</v>
      </c>
      <c r="F13" s="5"/>
      <c r="G13" s="4">
        <f>MATCH(B13,'Points Summary'!$B$4:$B$673,0)</f>
        <v>147</v>
      </c>
    </row>
    <row r="14" spans="1:7" x14ac:dyDescent="0.2">
      <c r="A14" s="68">
        <v>1</v>
      </c>
      <c r="B14" s="5" t="s">
        <v>47</v>
      </c>
      <c r="C14" s="60">
        <v>2.2548611111111113E-2</v>
      </c>
      <c r="D14" s="6">
        <f>INDEX('Points Summary'!$F$4:$F$672,G14)</f>
        <v>64.00084554229889</v>
      </c>
      <c r="E14" s="67">
        <f t="shared" si="0"/>
        <v>0.60465880124242988</v>
      </c>
      <c r="F14" s="5"/>
      <c r="G14" s="4">
        <f>MATCH(B14,'Points Summary'!$B$4:$B$673,0)</f>
        <v>19</v>
      </c>
    </row>
    <row r="15" spans="1:7" x14ac:dyDescent="0.2">
      <c r="A15" s="68">
        <v>8</v>
      </c>
      <c r="B15" s="5" t="s">
        <v>364</v>
      </c>
      <c r="C15" s="60">
        <v>2.1528935185185186E-2</v>
      </c>
      <c r="D15" s="6">
        <f>INDEX('Points Summary'!$F$4:$F$672,G15)</f>
        <v>63.975184384617123</v>
      </c>
      <c r="E15" s="67">
        <f t="shared" si="0"/>
        <v>0.63329728325385837</v>
      </c>
      <c r="F15" s="5"/>
      <c r="G15" s="4">
        <f>MATCH(B15,'Points Summary'!$B$4:$B$673,0)</f>
        <v>20</v>
      </c>
    </row>
    <row r="16" spans="1:7" x14ac:dyDescent="0.2">
      <c r="A16" s="68">
        <v>7</v>
      </c>
      <c r="B16" s="5" t="s">
        <v>366</v>
      </c>
      <c r="C16" s="60">
        <v>2.0100694444444445E-2</v>
      </c>
      <c r="D16" s="6">
        <f>INDEX('Points Summary'!$F$4:$F$672,G16)</f>
        <v>62.167923524010817</v>
      </c>
      <c r="E16" s="67">
        <f t="shared" si="0"/>
        <v>0.67829577738268088</v>
      </c>
      <c r="F16" s="5"/>
      <c r="G16" s="4">
        <f>MATCH(B16,'Points Summary'!$B$4:$B$673,0)</f>
        <v>45</v>
      </c>
    </row>
    <row r="17" spans="1:7" x14ac:dyDescent="0.2">
      <c r="A17" s="4">
        <v>3</v>
      </c>
      <c r="B17" s="210" t="s">
        <v>310</v>
      </c>
      <c r="C17" s="60">
        <v>2.6539351851851852E-2</v>
      </c>
      <c r="D17" s="6">
        <f>INDEX('Points Summary'!$F$4:$F$672,G17)</f>
        <v>53.048121598438328</v>
      </c>
      <c r="E17" s="67">
        <f t="shared" si="0"/>
        <v>0.51373583802028</v>
      </c>
      <c r="F17" s="5"/>
      <c r="G17" s="4">
        <f>MATCH(B17,'Points Summary'!$B$4:$B$673,0)</f>
        <v>4</v>
      </c>
    </row>
    <row r="18" spans="1:7" x14ac:dyDescent="0.2">
      <c r="A18" s="4">
        <v>4</v>
      </c>
      <c r="B18" s="5" t="s">
        <v>312</v>
      </c>
      <c r="C18" s="60">
        <v>2.6715277777777779E-2</v>
      </c>
      <c r="D18" s="6">
        <f>INDEX('Points Summary'!$F$4:$F$672,G18)</f>
        <v>52.452932111557999</v>
      </c>
      <c r="E18" s="67">
        <f t="shared" si="0"/>
        <v>0.51035277557425784</v>
      </c>
      <c r="F18" s="5"/>
      <c r="G18" s="4">
        <f>MATCH(B18,'Points Summary'!$B$4:$B$673,0)</f>
        <v>66</v>
      </c>
    </row>
    <row r="19" spans="1:7" x14ac:dyDescent="0.2">
      <c r="A19" s="4">
        <v>2</v>
      </c>
      <c r="B19" s="5" t="s">
        <v>257</v>
      </c>
      <c r="C19" s="60">
        <v>2.6373842592592591E-2</v>
      </c>
      <c r="D19" s="6">
        <f>INDEX('Points Summary'!$F$4:$F$672,G19)</f>
        <v>51.715521055637709</v>
      </c>
      <c r="E19" s="67">
        <f t="shared" si="0"/>
        <v>0.51695979136371706</v>
      </c>
      <c r="F19" s="5"/>
      <c r="G19" s="4">
        <f>MATCH(B19,'Points Summary'!$B$4:$B$673,0)</f>
        <v>13</v>
      </c>
    </row>
    <row r="20" spans="1:7" x14ac:dyDescent="0.2">
      <c r="A20" s="68">
        <v>5</v>
      </c>
      <c r="B20" s="5" t="s">
        <v>64</v>
      </c>
      <c r="C20" s="60">
        <v>2.8425925925925924E-2</v>
      </c>
      <c r="D20" s="6">
        <f>INDEX('Points Summary'!$F$4:$F$672,G20)</f>
        <v>46.917507946651071</v>
      </c>
      <c r="E20" s="67">
        <f t="shared" si="0"/>
        <v>0.47964017776079076</v>
      </c>
      <c r="F20" s="5"/>
      <c r="G20" s="4">
        <f>MATCH(B20,'Points Summary'!$B$4:$B$673,0)</f>
        <v>6</v>
      </c>
    </row>
    <row r="21" spans="1:7" x14ac:dyDescent="0.2">
      <c r="C21" s="60"/>
    </row>
    <row r="22" spans="1:7" x14ac:dyDescent="0.2">
      <c r="C22" s="60"/>
    </row>
    <row r="23" spans="1:7" x14ac:dyDescent="0.2">
      <c r="C23" s="60"/>
    </row>
    <row r="24" spans="1:7" x14ac:dyDescent="0.2">
      <c r="C24" s="60"/>
    </row>
    <row r="25" spans="1:7" x14ac:dyDescent="0.2">
      <c r="C25" s="60"/>
    </row>
    <row r="26" spans="1:7" x14ac:dyDescent="0.2">
      <c r="C26" s="60"/>
    </row>
    <row r="27" spans="1:7" x14ac:dyDescent="0.2">
      <c r="C27" s="60"/>
    </row>
    <row r="28" spans="1:7" x14ac:dyDescent="0.2">
      <c r="C28" s="60"/>
    </row>
    <row r="29" spans="1:7" x14ac:dyDescent="0.2">
      <c r="C29" s="60"/>
    </row>
    <row r="30" spans="1:7" x14ac:dyDescent="0.2">
      <c r="C30" s="60"/>
    </row>
    <row r="31" spans="1:7" x14ac:dyDescent="0.2">
      <c r="C31" s="60"/>
    </row>
  </sheetData>
  <sortState ref="A8:G20">
    <sortCondition descending="1" ref="D8:D20"/>
  </sortState>
  <hyperlinks>
    <hyperlink ref="B14" r:id="rId1" display="http://services.biathlonresults.com/athletes.aspx?IbuId=BTUSA22401199001" xr:uid="{00000000-0004-0000-3F00-000000000000}"/>
    <hyperlink ref="B11" r:id="rId2" display="http://services.biathlonresults.com/athletes.aspx?IbuId=BTUSA22401199001" xr:uid="{00000000-0004-0000-3F00-000001000000}"/>
  </hyperlinks>
  <printOptions horizontalCentered="1"/>
  <pageMargins left="0.7" right="0.7" top="0.75" bottom="0.75" header="0.3" footer="0.3"/>
  <pageSetup orientation="portrait" horizontalDpi="1200" verticalDpi="1200" r:id="rId3"/>
  <headerFooter>
    <oddHeader>&amp;L&amp;"Tahoma,Bold"&amp;11U.S. Biathlon Association&amp;R&amp;"Tahoma,Bold"&amp;11 2018 Race Points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21"/>
  <sheetViews>
    <sheetView workbookViewId="0">
      <selection activeCell="B1" sqref="B1:B5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 t="s">
        <v>514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43141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321</v>
      </c>
      <c r="C5" s="35"/>
      <c r="D5" s="35"/>
      <c r="E5" s="35" t="s">
        <v>28</v>
      </c>
      <c r="F5" s="52">
        <f>AVERAGE(C8:C10)*(AVERAGE(D8:D10)/100)</f>
        <v>1.1814082205479325E-2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451</v>
      </c>
      <c r="C8" s="40">
        <v>1.7075231481481483E-2</v>
      </c>
      <c r="D8" s="6">
        <f>INDEX('Points Summary'!$F$4:$F$672,G8)</f>
        <v>70.481290318598795</v>
      </c>
      <c r="E8" s="41">
        <f t="shared" ref="E8:E14" si="0">(AVERAGE($D$8:$D$10)/100*AVERAGE($C$8:$C$10))/C8</f>
        <v>0.69188416088484617</v>
      </c>
      <c r="F8" s="5"/>
      <c r="G8" s="4">
        <f>MATCH(B8,'Points Summary'!$B$4:$B$673,0)</f>
        <v>85</v>
      </c>
      <c r="I8" s="247"/>
    </row>
    <row r="9" spans="1:9" x14ac:dyDescent="0.2">
      <c r="A9" s="4">
        <v>5</v>
      </c>
      <c r="B9" s="5" t="s">
        <v>310</v>
      </c>
      <c r="C9" s="40">
        <v>2.2076388888888885E-2</v>
      </c>
      <c r="D9" s="6">
        <f>INDEX('Points Summary'!$F$4:$F$672,G9)</f>
        <v>53.048121598438328</v>
      </c>
      <c r="E9" s="41">
        <f t="shared" si="0"/>
        <v>0.53514559219535174</v>
      </c>
      <c r="F9" s="5"/>
      <c r="G9" s="4">
        <f>MATCH(B9,'Points Summary'!$B$4:$B$673,0)</f>
        <v>4</v>
      </c>
      <c r="I9" s="247"/>
    </row>
    <row r="10" spans="1:9" x14ac:dyDescent="0.2">
      <c r="A10" s="4">
        <v>4</v>
      </c>
      <c r="B10" s="5" t="s">
        <v>312</v>
      </c>
      <c r="C10" s="40">
        <v>2.1267361111111108E-2</v>
      </c>
      <c r="D10" s="6">
        <f>INDEX('Points Summary'!$F$4:$F$672,G10)</f>
        <v>52.452932111557999</v>
      </c>
      <c r="E10" s="41">
        <f t="shared" si="0"/>
        <v>0.55550296737600746</v>
      </c>
      <c r="F10" s="5"/>
      <c r="G10" s="4">
        <f>MATCH(B10,'Points Summary'!$B$4:$B$673,0)</f>
        <v>66</v>
      </c>
      <c r="I10" s="247"/>
    </row>
    <row r="11" spans="1:9" x14ac:dyDescent="0.2">
      <c r="A11" s="4">
        <v>2</v>
      </c>
      <c r="B11" s="5" t="s">
        <v>515</v>
      </c>
      <c r="C11" s="40">
        <v>1.8231481481481484E-2</v>
      </c>
      <c r="D11" s="6">
        <f>INDEX('Points Summary'!$F$4:$F$672,G11)</f>
        <v>0</v>
      </c>
      <c r="E11" s="41">
        <f t="shared" si="0"/>
        <v>0.64800450898515327</v>
      </c>
      <c r="F11" s="5"/>
      <c r="G11" s="4">
        <f>MATCH(B11,'Points Summary'!$B$4:$B$673,0)</f>
        <v>161</v>
      </c>
      <c r="I11" s="247"/>
    </row>
    <row r="12" spans="1:9" x14ac:dyDescent="0.2">
      <c r="A12" s="4">
        <v>3</v>
      </c>
      <c r="B12" s="5" t="s">
        <v>516</v>
      </c>
      <c r="C12" s="40">
        <v>1.861111111111111E-2</v>
      </c>
      <c r="D12" s="6">
        <f>INDEX('Points Summary'!$F$4:$F$672,G12)</f>
        <v>0</v>
      </c>
      <c r="E12" s="41">
        <f t="shared" si="0"/>
        <v>0.63478650656306823</v>
      </c>
      <c r="F12" s="5"/>
      <c r="G12" s="4">
        <f>MATCH(B12,'Points Summary'!$B$4:$B$673,0)</f>
        <v>162</v>
      </c>
      <c r="I12" s="247"/>
    </row>
    <row r="13" spans="1:9" x14ac:dyDescent="0.2">
      <c r="A13" s="4">
        <v>6</v>
      </c>
      <c r="B13" s="5" t="s">
        <v>324</v>
      </c>
      <c r="C13" s="40">
        <v>2.4667824074074075E-2</v>
      </c>
      <c r="D13" s="6">
        <f>INDEX('Points Summary'!$F$4:$F$672,G13)</f>
        <v>0</v>
      </c>
      <c r="E13" s="41">
        <f t="shared" si="0"/>
        <v>0.4789268064342953</v>
      </c>
      <c r="F13" s="5"/>
      <c r="G13" s="4">
        <f>MATCH(B13,'Points Summary'!$B$4:$B$673,0)</f>
        <v>163</v>
      </c>
      <c r="I13" s="247"/>
    </row>
    <row r="14" spans="1:9" x14ac:dyDescent="0.2">
      <c r="A14" s="4">
        <v>7</v>
      </c>
      <c r="B14" s="5" t="s">
        <v>325</v>
      </c>
      <c r="C14" s="40">
        <v>2.4752314814814814E-2</v>
      </c>
      <c r="D14" s="6">
        <f>INDEX('Points Summary'!$F$4:$F$672,G14)</f>
        <v>0</v>
      </c>
      <c r="E14" s="41">
        <f t="shared" si="0"/>
        <v>0.47729201466071902</v>
      </c>
      <c r="F14" s="5"/>
      <c r="G14" s="4">
        <f>MATCH(B14,'Points Summary'!$B$4:$B$673,0)</f>
        <v>164</v>
      </c>
      <c r="I14" s="247"/>
    </row>
    <row r="15" spans="1:9" x14ac:dyDescent="0.2">
      <c r="A15" s="4"/>
      <c r="B15" s="5"/>
      <c r="C15" s="40"/>
      <c r="D15" s="6"/>
      <c r="E15" s="41"/>
      <c r="F15" s="5"/>
      <c r="G15" s="4"/>
    </row>
    <row r="16" spans="1:9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42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</sheetData>
  <sortState ref="A8:G14">
    <sortCondition descending="1" ref="D8:D14"/>
  </sortState>
  <hyperlinks>
    <hyperlink ref="B8" r:id="rId1" display="http://services.biathlonresults.com/athletes.aspx?IbuId=BTUSA22401199001" xr:uid="{7E5523A9-0B16-40A9-937C-0A71A79141F9}"/>
  </hyperlinks>
  <printOptions horizontalCentered="1"/>
  <pageMargins left="0.7" right="0.7" top="0.75" bottom="0.75" header="0.3" footer="0.3"/>
  <pageSetup orientation="portrait" horizontalDpi="1200" verticalDpi="1200" r:id="rId2"/>
  <headerFooter>
    <oddHeader>&amp;L&amp;"Tahoma,Bold"&amp;11U.S. Biathlon Association&amp;R&amp;"Tahoma,Bold"&amp;11 2018 Race Points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22"/>
  <sheetViews>
    <sheetView workbookViewId="0">
      <selection activeCell="B1" sqref="B1:B5"/>
    </sheetView>
  </sheetViews>
  <sheetFormatPr defaultRowHeight="12.75" x14ac:dyDescent="0.2"/>
  <cols>
    <col min="2" max="2" width="24.7109375" customWidth="1"/>
    <col min="3" max="7" width="9.7109375" customWidth="1"/>
    <col min="10" max="10" width="18" customWidth="1"/>
  </cols>
  <sheetData>
    <row r="1" spans="1:9" x14ac:dyDescent="0.2">
      <c r="A1" s="29" t="s">
        <v>10</v>
      </c>
      <c r="B1" s="30" t="s">
        <v>517</v>
      </c>
      <c r="C1" s="31"/>
      <c r="D1" s="31"/>
      <c r="E1" s="31"/>
      <c r="F1" s="31"/>
      <c r="G1" s="32"/>
    </row>
    <row r="2" spans="1:9" x14ac:dyDescent="0.2">
      <c r="A2" s="33" t="s">
        <v>11</v>
      </c>
      <c r="B2" s="34">
        <v>43142</v>
      </c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321</v>
      </c>
      <c r="C5" s="35"/>
      <c r="D5" s="35"/>
      <c r="E5" s="35" t="s">
        <v>28</v>
      </c>
      <c r="F5" s="52">
        <f>AVERAGE(C8:C9)*(AVERAGE(D8:D9)/100)</f>
        <v>1.8456579014196693E-2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4</v>
      </c>
      <c r="B8" s="5" t="s">
        <v>310</v>
      </c>
      <c r="C8" s="40">
        <v>3.5059027777777779E-2</v>
      </c>
      <c r="D8" s="6">
        <f>INDEX('Points Summary'!$F$4:$F$672,G8)</f>
        <v>53.048121598438328</v>
      </c>
      <c r="E8" s="67">
        <f>(AVERAGE($D$8:$D$9)/100*AVERAGE($C$8:$C$9))/C8</f>
        <v>0.52644297871532608</v>
      </c>
      <c r="F8" s="5"/>
      <c r="G8" s="4">
        <f>MATCH(B8,'Points Summary'!$B$4:$B$673,0)</f>
        <v>4</v>
      </c>
      <c r="I8" s="247"/>
    </row>
    <row r="9" spans="1:9" x14ac:dyDescent="0.2">
      <c r="A9" s="4">
        <v>3</v>
      </c>
      <c r="B9" s="42" t="s">
        <v>312</v>
      </c>
      <c r="C9" s="40">
        <v>3.4917824074074073E-2</v>
      </c>
      <c r="D9" s="6">
        <f>INDEX('Points Summary'!$F$4:$F$672,G9)</f>
        <v>52.452932111557999</v>
      </c>
      <c r="E9" s="67">
        <f t="shared" ref="E9:E12" si="0">(AVERAGE($D$8:$D$9)/100*AVERAGE($C$8:$C$9))/C9</f>
        <v>0.52857185416374231</v>
      </c>
      <c r="F9" s="5"/>
      <c r="G9" s="4">
        <f>MATCH(B9,'Points Summary'!$B$4:$B$673,0)</f>
        <v>66</v>
      </c>
      <c r="I9" s="247"/>
    </row>
    <row r="10" spans="1:9" x14ac:dyDescent="0.2">
      <c r="A10" s="4">
        <v>1</v>
      </c>
      <c r="B10" s="42" t="s">
        <v>515</v>
      </c>
      <c r="C10" s="40">
        <v>3.1237268518518518E-2</v>
      </c>
      <c r="D10" s="6">
        <f>INDEX('Points Summary'!$F$4:$F$672,G10)</f>
        <v>0</v>
      </c>
      <c r="E10" s="67">
        <f t="shared" si="0"/>
        <v>0.59085124562843916</v>
      </c>
      <c r="F10" s="5"/>
      <c r="G10" s="4">
        <f>MATCH(B10,'Points Summary'!$B$4:$B$673,0)</f>
        <v>161</v>
      </c>
      <c r="I10" s="247"/>
    </row>
    <row r="11" spans="1:9" x14ac:dyDescent="0.2">
      <c r="A11" s="4">
        <v>2</v>
      </c>
      <c r="B11" s="5" t="s">
        <v>516</v>
      </c>
      <c r="C11" s="40">
        <v>3.3986111111111113E-2</v>
      </c>
      <c r="D11" s="6">
        <f>INDEX('Points Summary'!$F$4:$F$672,G11)</f>
        <v>0</v>
      </c>
      <c r="E11" s="67">
        <f t="shared" si="0"/>
        <v>0.5430623984561348</v>
      </c>
      <c r="F11" s="5"/>
      <c r="G11" s="4">
        <f>MATCH(B11,'Points Summary'!$B$4:$B$673,0)</f>
        <v>162</v>
      </c>
      <c r="I11" s="247"/>
    </row>
    <row r="12" spans="1:9" x14ac:dyDescent="0.2">
      <c r="A12" s="4">
        <v>5</v>
      </c>
      <c r="B12" s="5" t="s">
        <v>324</v>
      </c>
      <c r="C12" s="40">
        <f>TIME(1,3,13.7)</f>
        <v>4.3900462962962961E-2</v>
      </c>
      <c r="D12" s="6">
        <f>INDEX('Points Summary'!$F$4:$F$672,G12)</f>
        <v>0</v>
      </c>
      <c r="E12" s="67">
        <f t="shared" si="0"/>
        <v>0.42041877849369741</v>
      </c>
      <c r="F12" s="5"/>
      <c r="G12" s="4">
        <f>MATCH(B12,'Points Summary'!$B$4:$B$673,0)</f>
        <v>163</v>
      </c>
      <c r="I12" s="247"/>
    </row>
    <row r="13" spans="1:9" x14ac:dyDescent="0.2">
      <c r="A13" s="4"/>
      <c r="B13" s="5"/>
      <c r="C13" s="40"/>
      <c r="D13" s="6"/>
      <c r="E13" s="41"/>
      <c r="F13" s="5"/>
      <c r="G13" s="4"/>
    </row>
    <row r="14" spans="1:9" x14ac:dyDescent="0.2">
      <c r="A14" s="4"/>
      <c r="B14" s="5"/>
      <c r="C14" s="40"/>
      <c r="D14" s="6"/>
      <c r="E14" s="41"/>
      <c r="F14" s="5"/>
      <c r="G14" s="4"/>
    </row>
    <row r="15" spans="1:9" x14ac:dyDescent="0.2">
      <c r="A15" s="4"/>
      <c r="C15" s="40"/>
      <c r="D15" s="6"/>
      <c r="E15" s="41"/>
      <c r="F15" s="5"/>
      <c r="G15" s="4"/>
    </row>
    <row r="16" spans="1:9" x14ac:dyDescent="0.2">
      <c r="A16" s="4"/>
      <c r="C16" s="40"/>
      <c r="D16" s="6"/>
      <c r="E16" s="41"/>
      <c r="F16" s="5"/>
      <c r="G16" s="4"/>
    </row>
    <row r="17" spans="1:7" x14ac:dyDescent="0.2">
      <c r="A17" s="4"/>
      <c r="C17" s="40"/>
      <c r="D17" s="6"/>
      <c r="E17" s="41"/>
      <c r="F17" s="5"/>
      <c r="G17" s="4"/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  <row r="22" spans="1:7" x14ac:dyDescent="0.2">
      <c r="A22" s="4"/>
      <c r="B22" s="5"/>
      <c r="C22" s="40"/>
      <c r="D22" s="6"/>
      <c r="E22" s="41"/>
      <c r="F22" s="5"/>
      <c r="G22" s="4"/>
    </row>
  </sheetData>
  <sortState ref="A8:G12">
    <sortCondition descending="1" ref="D8:D12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24"/>
  <sheetViews>
    <sheetView workbookViewId="0">
      <selection activeCell="B1" sqref="B1:B5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 t="s">
        <v>518</v>
      </c>
      <c r="C1" s="31"/>
      <c r="D1" s="31"/>
      <c r="E1" s="31"/>
      <c r="F1" s="31"/>
      <c r="G1" s="32"/>
    </row>
    <row r="2" spans="1:12" x14ac:dyDescent="0.2">
      <c r="A2" s="33" t="s">
        <v>11</v>
      </c>
      <c r="B2" s="34">
        <v>43169</v>
      </c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321</v>
      </c>
      <c r="C5" s="35"/>
      <c r="D5" s="35"/>
      <c r="E5" s="35" t="s">
        <v>28</v>
      </c>
      <c r="F5" s="52">
        <f>AVERAGE(C8:C9)*(AVERAGE(D8:D9)/100)</f>
        <v>1.1581915444899482E-2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4"/>
      <c r="K7" s="4"/>
      <c r="L7" s="4"/>
    </row>
    <row r="8" spans="1:12" x14ac:dyDescent="0.2">
      <c r="A8" s="4">
        <v>1</v>
      </c>
      <c r="B8" s="42" t="s">
        <v>312</v>
      </c>
      <c r="C8" s="60">
        <f>TIME(0,31,45.3)</f>
        <v>2.2048611111111113E-2</v>
      </c>
      <c r="D8" s="6">
        <f>INDEX('Points Summary'!$F$4:$F$672,G8)</f>
        <v>52.452932111557999</v>
      </c>
      <c r="E8" s="67">
        <f>(AVERAGE($D$8:$D$9)/100*AVERAGE($C$8:$C$9))/C8</f>
        <v>0.52529002332772445</v>
      </c>
      <c r="F8" s="5"/>
      <c r="G8" s="4">
        <f>MATCH(B8,'Points Summary'!$B$4:$B$673,0)</f>
        <v>66</v>
      </c>
      <c r="I8" s="247"/>
      <c r="J8" s="40"/>
      <c r="K8" s="40"/>
      <c r="L8" s="40"/>
    </row>
    <row r="9" spans="1:12" x14ac:dyDescent="0.2">
      <c r="A9" s="4">
        <v>2</v>
      </c>
      <c r="B9" s="5" t="s">
        <v>310</v>
      </c>
      <c r="C9" s="60">
        <f>TIME(0,31,29)</f>
        <v>2.1863425925925925E-2</v>
      </c>
      <c r="D9" s="6">
        <f>INDEX('Points Summary'!$F$4:$F$672,G9)</f>
        <v>53.048121598438328</v>
      </c>
      <c r="E9" s="67">
        <f t="shared" ref="E9:E10" si="0">(AVERAGE($D$8:$D$9)/100*AVERAGE($C$8:$C$9))/C9</f>
        <v>0.52973927709863167</v>
      </c>
      <c r="F9" s="5"/>
      <c r="G9" s="4">
        <f>MATCH(B9,'Points Summary'!$B$4:$B$673,0)</f>
        <v>4</v>
      </c>
      <c r="I9" s="247"/>
      <c r="J9" s="40"/>
      <c r="K9" s="40"/>
      <c r="L9" s="40"/>
    </row>
    <row r="10" spans="1:12" x14ac:dyDescent="0.2">
      <c r="A10" s="4">
        <v>3</v>
      </c>
      <c r="B10" s="42" t="s">
        <v>324</v>
      </c>
      <c r="C10" s="60">
        <f>TIME(0,37,46.9)</f>
        <v>2.6226851851851852E-2</v>
      </c>
      <c r="D10" s="6">
        <f>INDEX('Points Summary'!$F$4:$F$672,G10)</f>
        <v>0</v>
      </c>
      <c r="E10" s="67">
        <f t="shared" si="0"/>
        <v>0.44160524909060689</v>
      </c>
      <c r="F10" s="5"/>
      <c r="G10" s="4">
        <f>MATCH(B10,'Points Summary'!$B$4:$B$673,0)</f>
        <v>163</v>
      </c>
      <c r="I10" s="247"/>
      <c r="J10" s="40"/>
    </row>
    <row r="11" spans="1:12" x14ac:dyDescent="0.2">
      <c r="A11" s="4"/>
      <c r="B11" s="5"/>
      <c r="C11" s="60"/>
      <c r="D11" s="6"/>
      <c r="E11" s="67"/>
      <c r="F11" s="5"/>
      <c r="G11" s="4"/>
      <c r="J11" s="40"/>
    </row>
    <row r="12" spans="1:12" x14ac:dyDescent="0.2">
      <c r="A12" s="4"/>
      <c r="B12" s="5"/>
      <c r="C12" s="60"/>
      <c r="D12" s="6"/>
      <c r="E12" s="67"/>
      <c r="F12" s="5"/>
      <c r="G12" s="4"/>
    </row>
    <row r="13" spans="1:12" x14ac:dyDescent="0.2">
      <c r="A13" s="4"/>
      <c r="B13" s="5"/>
      <c r="C13" s="60"/>
      <c r="D13" s="60"/>
      <c r="E13" s="60"/>
      <c r="F13" s="60"/>
      <c r="G13" s="4"/>
    </row>
    <row r="14" spans="1:12" x14ac:dyDescent="0.2">
      <c r="A14" s="4"/>
      <c r="B14" s="5"/>
      <c r="C14" s="60"/>
      <c r="D14" s="60"/>
      <c r="E14" s="60"/>
      <c r="F14" s="60"/>
      <c r="G14" s="4"/>
    </row>
    <row r="15" spans="1:12" x14ac:dyDescent="0.2">
      <c r="A15" s="4"/>
      <c r="B15" s="5"/>
      <c r="C15" s="60"/>
      <c r="D15" s="60"/>
      <c r="E15" s="60"/>
      <c r="F15" s="60"/>
      <c r="G15" s="4"/>
    </row>
    <row r="16" spans="1:12" x14ac:dyDescent="0.2">
      <c r="A16" s="4"/>
      <c r="B16" s="5"/>
      <c r="C16" s="60"/>
      <c r="D16" s="6"/>
      <c r="E16" s="67"/>
      <c r="F16" s="5"/>
      <c r="G16" s="4"/>
    </row>
    <row r="17" spans="1:7" x14ac:dyDescent="0.2">
      <c r="A17" s="4"/>
      <c r="B17" s="5"/>
      <c r="C17" s="60"/>
      <c r="D17" s="6"/>
      <c r="E17" s="67"/>
      <c r="F17" s="5"/>
      <c r="G17" s="4"/>
    </row>
    <row r="18" spans="1:7" x14ac:dyDescent="0.2">
      <c r="A18" s="4"/>
      <c r="B18" s="5"/>
      <c r="C18" s="60"/>
      <c r="D18" s="6"/>
      <c r="E18" s="67"/>
      <c r="F18" s="5"/>
      <c r="G18" s="4"/>
    </row>
    <row r="19" spans="1:7" x14ac:dyDescent="0.2">
      <c r="A19" s="63"/>
      <c r="B19" s="5"/>
      <c r="C19" s="60"/>
      <c r="D19" s="6"/>
      <c r="E19" s="67"/>
      <c r="F19" s="5"/>
      <c r="G19" s="4"/>
    </row>
    <row r="20" spans="1:7" x14ac:dyDescent="0.2">
      <c r="A20" s="63"/>
      <c r="B20" s="42"/>
      <c r="C20" s="60"/>
      <c r="D20" s="6"/>
      <c r="E20" s="67"/>
      <c r="F20" s="5"/>
      <c r="G20" s="4"/>
    </row>
    <row r="21" spans="1:7" x14ac:dyDescent="0.2">
      <c r="A21" s="63"/>
    </row>
    <row r="22" spans="1:7" x14ac:dyDescent="0.2">
      <c r="A22" s="63"/>
    </row>
    <row r="23" spans="1:7" x14ac:dyDescent="0.2">
      <c r="A23" s="63"/>
    </row>
    <row r="24" spans="1:7" x14ac:dyDescent="0.2">
      <c r="A24" s="63"/>
    </row>
  </sheetData>
  <sortState ref="A8:D11">
    <sortCondition descending="1" ref="D8:D11"/>
  </sortState>
  <printOptions horizontalCentered="1"/>
  <pageMargins left="0.7" right="0.7" top="0.75" bottom="0.75" header="0.3" footer="0.3"/>
  <pageSetup orientation="portrait" r:id="rId1"/>
  <headerFooter>
    <oddHeader xml:space="preserve">&amp;L&amp;"Tahoma,Bold"&amp;11U.S. Biathlon Association&amp;R&amp;"Tahoma,Bold"&amp;11 2018 Race Points 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L23"/>
  <sheetViews>
    <sheetView workbookViewId="0">
      <selection activeCell="F14" sqref="F14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 t="s">
        <v>519</v>
      </c>
      <c r="C1" s="31"/>
      <c r="D1" s="31"/>
      <c r="E1" s="31"/>
      <c r="F1" s="31"/>
      <c r="G1" s="32"/>
    </row>
    <row r="2" spans="1:12" x14ac:dyDescent="0.2">
      <c r="A2" s="33" t="s">
        <v>11</v>
      </c>
      <c r="B2" s="34">
        <v>43170</v>
      </c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321</v>
      </c>
      <c r="C5" s="35"/>
      <c r="D5" s="35"/>
      <c r="E5" s="35" t="s">
        <v>28</v>
      </c>
      <c r="F5" s="52">
        <f>AVERAGE(C8:C9)*(AVERAGE(D8:D9)/100)</f>
        <v>1.8862587120198705E-2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4"/>
      <c r="K7" s="4"/>
      <c r="L7" s="4"/>
    </row>
    <row r="8" spans="1:12" x14ac:dyDescent="0.2">
      <c r="A8" s="4">
        <v>1</v>
      </c>
      <c r="B8" s="42" t="s">
        <v>310</v>
      </c>
      <c r="C8" s="40">
        <v>3.5731481481481482E-2</v>
      </c>
      <c r="D8" s="6">
        <f>INDEX('Points Summary'!$F$4:$F$672,G8)</f>
        <v>53.048121598438328</v>
      </c>
      <c r="E8" s="67">
        <f>(AVERAGE($D$8:$D$9)/100*AVERAGE($C$8:$C$9))/C8</f>
        <v>0.52789826612631774</v>
      </c>
      <c r="F8" s="5"/>
      <c r="G8" s="4">
        <f>MATCH(B8,'Points Summary'!$B$4:$B$673,0)</f>
        <v>4</v>
      </c>
      <c r="I8" s="247"/>
      <c r="J8" s="40"/>
      <c r="K8" s="40"/>
      <c r="L8" s="40"/>
    </row>
    <row r="9" spans="1:12" x14ac:dyDescent="0.2">
      <c r="A9" s="4">
        <v>2</v>
      </c>
      <c r="B9" s="42" t="s">
        <v>312</v>
      </c>
      <c r="C9" s="40">
        <v>3.5784722222222225E-2</v>
      </c>
      <c r="D9" s="6">
        <f>INDEX('Points Summary'!$F$4:$F$672,G9)</f>
        <v>52.452932111557999</v>
      </c>
      <c r="E9" s="67">
        <f>(AVERAGE($D$8:$D$9)/100*AVERAGE($C$8:$C$9))/C9</f>
        <v>0.52711285567797661</v>
      </c>
      <c r="F9" s="5"/>
      <c r="G9" s="4">
        <f>MATCH(B9,'Points Summary'!$B$4:$B$673,0)</f>
        <v>66</v>
      </c>
      <c r="I9" s="247"/>
      <c r="J9" s="40"/>
      <c r="K9" s="40"/>
      <c r="L9" s="40"/>
    </row>
    <row r="10" spans="1:12" x14ac:dyDescent="0.2">
      <c r="A10" s="4">
        <v>3</v>
      </c>
      <c r="B10" s="5" t="s">
        <v>324</v>
      </c>
      <c r="C10" s="40">
        <v>4.1547453703703704E-2</v>
      </c>
      <c r="D10" s="6">
        <f>INDEX('Points Summary'!$F$4:$F$672,G10)</f>
        <v>0</v>
      </c>
      <c r="E10" s="67">
        <f>(AVERAGE($D$8:$D$9)/100*AVERAGE($C$8:$C$9))/C10</f>
        <v>0.45400103829990474</v>
      </c>
      <c r="F10" s="5"/>
      <c r="G10" s="4">
        <f>MATCH(B10,'Points Summary'!$B$4:$B$673,0)</f>
        <v>163</v>
      </c>
      <c r="I10" s="247"/>
      <c r="J10" s="40"/>
      <c r="K10" s="40"/>
      <c r="L10" s="40"/>
    </row>
    <row r="11" spans="1:12" x14ac:dyDescent="0.2">
      <c r="A11" s="4"/>
      <c r="B11" s="5"/>
      <c r="C11" s="40"/>
      <c r="D11" s="6"/>
      <c r="E11" s="67"/>
      <c r="F11" s="5"/>
      <c r="G11" s="4"/>
      <c r="J11" s="40"/>
      <c r="K11" s="40"/>
      <c r="L11" s="40"/>
    </row>
    <row r="12" spans="1:12" x14ac:dyDescent="0.2">
      <c r="A12" s="4"/>
      <c r="B12" s="5"/>
      <c r="C12" s="40"/>
      <c r="D12" s="6"/>
      <c r="E12" s="41"/>
      <c r="F12" s="5"/>
      <c r="G12" s="4"/>
      <c r="J12" s="40"/>
      <c r="K12" s="40"/>
      <c r="L12" s="40"/>
    </row>
    <row r="13" spans="1:12" x14ac:dyDescent="0.2">
      <c r="A13" s="4"/>
      <c r="B13" s="5"/>
      <c r="C13" s="40"/>
      <c r="D13" s="6"/>
      <c r="E13" s="41"/>
      <c r="F13" s="5"/>
      <c r="G13" s="4"/>
      <c r="J13" s="40"/>
      <c r="K13" s="40"/>
      <c r="L13" s="40"/>
    </row>
    <row r="14" spans="1:12" x14ac:dyDescent="0.2">
      <c r="A14" s="4"/>
      <c r="B14" s="5"/>
      <c r="C14" s="40"/>
      <c r="D14" s="6"/>
      <c r="E14" s="41"/>
      <c r="F14" s="5"/>
      <c r="G14" s="4"/>
      <c r="J14" s="40"/>
      <c r="K14" s="40"/>
      <c r="L14" s="40"/>
    </row>
    <row r="15" spans="1:12" x14ac:dyDescent="0.2">
      <c r="A15" s="4"/>
      <c r="C15" s="40"/>
      <c r="D15" s="6"/>
      <c r="E15" s="41"/>
      <c r="F15" s="5"/>
      <c r="G15" s="4"/>
      <c r="J15" s="40"/>
      <c r="K15" s="40"/>
      <c r="L15" s="40"/>
    </row>
    <row r="16" spans="1:12" x14ac:dyDescent="0.2">
      <c r="A16" s="4"/>
      <c r="C16" s="40"/>
      <c r="D16" s="6"/>
      <c r="E16" s="41"/>
      <c r="F16" s="5"/>
      <c r="G16" s="4"/>
      <c r="J16" s="40"/>
      <c r="K16" s="40"/>
      <c r="L16" s="40"/>
    </row>
    <row r="17" spans="1:7" x14ac:dyDescent="0.2">
      <c r="A17" s="4"/>
      <c r="C17" s="40"/>
      <c r="D17" s="6"/>
      <c r="E17" s="41"/>
      <c r="F17" s="5"/>
      <c r="G17" s="4"/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  <row r="22" spans="1:7" x14ac:dyDescent="0.2">
      <c r="A22" s="4"/>
      <c r="B22" s="5"/>
      <c r="C22" s="40"/>
      <c r="D22" s="6"/>
      <c r="E22" s="41"/>
      <c r="F22" s="5"/>
      <c r="G22" s="4"/>
    </row>
    <row r="23" spans="1:7" x14ac:dyDescent="0.2">
      <c r="A23" s="4"/>
      <c r="C23" s="40"/>
      <c r="D23" s="6"/>
      <c r="E23" s="41"/>
      <c r="F23" s="5"/>
      <c r="G23" s="4"/>
    </row>
  </sheetData>
  <sortState ref="A8:G10">
    <sortCondition descending="1" ref="D8:D10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26"/>
  <sheetViews>
    <sheetView workbookViewId="0">
      <selection activeCell="H8" sqref="H8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 t="s">
        <v>520</v>
      </c>
      <c r="C1" s="31"/>
      <c r="D1" s="31"/>
      <c r="E1" s="31"/>
      <c r="F1" s="31"/>
      <c r="G1" s="32"/>
    </row>
    <row r="2" spans="1:12" x14ac:dyDescent="0.2">
      <c r="A2" s="33" t="s">
        <v>11</v>
      </c>
      <c r="B2" s="34">
        <v>43190</v>
      </c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321</v>
      </c>
      <c r="C5" s="35"/>
      <c r="D5" s="35"/>
      <c r="E5" s="35" t="s">
        <v>28</v>
      </c>
      <c r="F5" s="52">
        <f>AVERAGE(C8:C10)*(AVERAGE(D8:D10)/100)</f>
        <v>2.751887219617755E-2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4"/>
      <c r="K7" s="4"/>
      <c r="L7" s="4"/>
    </row>
    <row r="8" spans="1:12" x14ac:dyDescent="0.2">
      <c r="A8" s="4">
        <v>1</v>
      </c>
      <c r="B8" s="5" t="s">
        <v>58</v>
      </c>
      <c r="C8" s="40">
        <v>2.7680555555555555E-2</v>
      </c>
      <c r="D8" s="6">
        <f>INDEX('Points Summary'!$F$4:$F$672,G8)</f>
        <v>99.28871437032133</v>
      </c>
      <c r="E8" s="67">
        <f t="shared" ref="E8:E20" si="0">(AVERAGE($D$8:$D$10)/100*AVERAGE($C$8:$C$10))/C8</f>
        <v>0.99415895540631394</v>
      </c>
      <c r="F8" s="5"/>
      <c r="G8" s="4">
        <f>MATCH(B8,'Points Summary'!$B$4:$B$673,0)</f>
        <v>41</v>
      </c>
      <c r="J8" s="40"/>
      <c r="K8" s="40"/>
      <c r="L8" s="40"/>
    </row>
    <row r="9" spans="1:12" x14ac:dyDescent="0.2">
      <c r="A9" s="4">
        <v>2</v>
      </c>
      <c r="B9" s="5" t="s">
        <v>221</v>
      </c>
      <c r="C9" s="40">
        <v>2.8668981481481479E-2</v>
      </c>
      <c r="D9" s="6">
        <f>INDEX('Points Summary'!$F$4:$F$672,G9)</f>
        <v>97.172319392285544</v>
      </c>
      <c r="E9" s="67">
        <f t="shared" si="0"/>
        <v>0.9598831480620672</v>
      </c>
      <c r="F9" s="5"/>
      <c r="G9" s="4">
        <f>MATCH(B9,'Points Summary'!$B$4:$B$673,0)</f>
        <v>42</v>
      </c>
      <c r="J9" s="40"/>
      <c r="K9" s="40"/>
      <c r="L9" s="40"/>
    </row>
    <row r="10" spans="1:12" x14ac:dyDescent="0.2">
      <c r="A10" s="4">
        <v>3</v>
      </c>
      <c r="B10" s="5" t="s">
        <v>247</v>
      </c>
      <c r="C10" s="40">
        <v>2.8751157407407402E-2</v>
      </c>
      <c r="D10" s="6">
        <f>INDEX('Points Summary'!$F$4:$F$672,G10)</f>
        <v>94.570492340017523</v>
      </c>
      <c r="E10" s="67">
        <f t="shared" si="0"/>
        <v>0.957139631154036</v>
      </c>
      <c r="F10" s="5"/>
      <c r="G10" s="4">
        <f>MATCH(B10,'Points Summary'!$B$4:$B$673,0)</f>
        <v>40</v>
      </c>
      <c r="J10" s="40"/>
      <c r="K10" s="40"/>
      <c r="L10" s="40"/>
    </row>
    <row r="11" spans="1:12" x14ac:dyDescent="0.2">
      <c r="A11" s="4">
        <v>4</v>
      </c>
      <c r="B11" s="5" t="s">
        <v>249</v>
      </c>
      <c r="C11" s="40">
        <v>3.1060185185185187E-2</v>
      </c>
      <c r="D11" s="6">
        <f>INDEX('Points Summary'!$F$4:$F$672,G11)</f>
        <v>94.212884468561555</v>
      </c>
      <c r="E11" s="67">
        <f t="shared" si="0"/>
        <v>0.88598545153888064</v>
      </c>
      <c r="F11" s="5"/>
      <c r="G11" s="4">
        <f>MATCH(B11,'Points Summary'!$B$4:$B$673,0)</f>
        <v>106</v>
      </c>
      <c r="J11" s="40"/>
      <c r="K11" s="40"/>
      <c r="L11" s="40"/>
    </row>
    <row r="12" spans="1:12" x14ac:dyDescent="0.2">
      <c r="A12" s="4">
        <v>6</v>
      </c>
      <c r="B12" s="5" t="s">
        <v>345</v>
      </c>
      <c r="C12" s="40">
        <v>3.2296296296296295E-2</v>
      </c>
      <c r="D12" s="6">
        <f>INDEX('Points Summary'!$F$4:$F$672,G12)</f>
        <v>87.124655385669783</v>
      </c>
      <c r="E12" s="67">
        <f t="shared" si="0"/>
        <v>0.85207517121191956</v>
      </c>
      <c r="F12" s="5"/>
      <c r="G12" s="4">
        <f>MATCH(B12,'Points Summary'!$B$4:$B$673,0)</f>
        <v>71</v>
      </c>
      <c r="J12" s="40"/>
      <c r="K12" s="40"/>
      <c r="L12" s="40"/>
    </row>
    <row r="13" spans="1:12" x14ac:dyDescent="0.2">
      <c r="A13" s="4">
        <v>5</v>
      </c>
      <c r="B13" s="5" t="s">
        <v>259</v>
      </c>
      <c r="C13" s="40">
        <v>3.1466435185185188E-2</v>
      </c>
      <c r="D13" s="6">
        <f>INDEX('Points Summary'!$F$4:$F$672,G13)</f>
        <v>85.59089880914452</v>
      </c>
      <c r="E13" s="67">
        <f t="shared" si="0"/>
        <v>0.87454686348245125</v>
      </c>
      <c r="F13" s="5"/>
      <c r="G13" s="4">
        <f>MATCH(B13,'Points Summary'!$B$4:$B$673,0)</f>
        <v>57</v>
      </c>
      <c r="J13" s="40"/>
      <c r="K13" s="40"/>
      <c r="L13" s="40"/>
    </row>
    <row r="14" spans="1:12" x14ac:dyDescent="0.2">
      <c r="A14" s="4">
        <v>7</v>
      </c>
      <c r="B14" s="5" t="s">
        <v>347</v>
      </c>
      <c r="C14" s="40">
        <v>3.4031250000000006E-2</v>
      </c>
      <c r="D14" s="6">
        <f>INDEX('Points Summary'!$F$4:$F$672,G14)</f>
        <v>80.359598428014465</v>
      </c>
      <c r="E14" s="67">
        <f t="shared" si="0"/>
        <v>0.80863536297307759</v>
      </c>
      <c r="F14" s="5"/>
      <c r="G14" s="4">
        <f>MATCH(B14,'Points Summary'!$B$4:$B$673,0)</f>
        <v>128</v>
      </c>
      <c r="J14" s="40"/>
      <c r="K14" s="40"/>
      <c r="L14" s="40"/>
    </row>
    <row r="15" spans="1:12" x14ac:dyDescent="0.2">
      <c r="A15" s="4">
        <v>1</v>
      </c>
      <c r="B15" s="5" t="s">
        <v>47</v>
      </c>
      <c r="C15" s="40">
        <v>3.5268518518518518E-2</v>
      </c>
      <c r="D15" s="6">
        <f>INDEX('Points Summary'!$F$4:$F$672,G15)</f>
        <v>64.00084554229889</v>
      </c>
      <c r="E15" s="67">
        <f t="shared" si="0"/>
        <v>0.7802673135172421</v>
      </c>
      <c r="F15" s="5"/>
      <c r="G15" s="4">
        <f>MATCH(B15,'Points Summary'!$B$4:$B$673,0)</f>
        <v>19</v>
      </c>
      <c r="J15" s="40"/>
      <c r="K15" s="40"/>
      <c r="L15" s="40"/>
    </row>
    <row r="16" spans="1:12" x14ac:dyDescent="0.2">
      <c r="A16" s="4">
        <v>4</v>
      </c>
      <c r="B16" s="5" t="s">
        <v>310</v>
      </c>
      <c r="C16" s="40">
        <v>4.0128472222222218E-2</v>
      </c>
      <c r="D16" s="6">
        <f>INDEX('Points Summary'!$F$4:$F$672,G16)</f>
        <v>53.048121598438328</v>
      </c>
      <c r="E16" s="67">
        <f t="shared" si="0"/>
        <v>0.68576924742572776</v>
      </c>
      <c r="F16" s="5"/>
      <c r="G16" s="4">
        <f>MATCH(B16,'Points Summary'!$B$4:$B$673,0)</f>
        <v>4</v>
      </c>
      <c r="J16" s="40"/>
      <c r="K16" s="40"/>
      <c r="L16" s="40"/>
    </row>
    <row r="17" spans="1:12" x14ac:dyDescent="0.2">
      <c r="A17" s="4">
        <v>2</v>
      </c>
      <c r="B17" s="5" t="s">
        <v>312</v>
      </c>
      <c r="C17" s="40">
        <v>3.9695601851851857E-2</v>
      </c>
      <c r="D17" s="6">
        <f>INDEX('Points Summary'!$F$4:$F$672,G17)</f>
        <v>52.452932111557999</v>
      </c>
      <c r="E17" s="67">
        <f t="shared" si="0"/>
        <v>0.69324738541264253</v>
      </c>
      <c r="F17" s="5"/>
      <c r="G17" s="4">
        <f>MATCH(B17,'Points Summary'!$B$4:$B$673,0)</f>
        <v>66</v>
      </c>
      <c r="J17" s="40"/>
      <c r="K17" s="40"/>
      <c r="L17" s="40"/>
    </row>
    <row r="18" spans="1:12" x14ac:dyDescent="0.2">
      <c r="A18" s="4">
        <v>5</v>
      </c>
      <c r="B18" s="42" t="s">
        <v>257</v>
      </c>
      <c r="C18" s="40">
        <v>4.1429398148148146E-2</v>
      </c>
      <c r="D18" s="6">
        <f>INDEX('Points Summary'!$F$4:$F$672,G18)</f>
        <v>51.715521055637709</v>
      </c>
      <c r="E18" s="67">
        <f t="shared" si="0"/>
        <v>0.66423538420163164</v>
      </c>
      <c r="F18" s="5"/>
      <c r="G18" s="4">
        <f>MATCH(B18,'Points Summary'!$B$4:$B$673,0)</f>
        <v>13</v>
      </c>
      <c r="J18" s="40"/>
      <c r="K18" s="40"/>
      <c r="L18" s="40"/>
    </row>
    <row r="19" spans="1:12" x14ac:dyDescent="0.2">
      <c r="A19" s="4">
        <v>3</v>
      </c>
      <c r="B19" s="5" t="s">
        <v>64</v>
      </c>
      <c r="C19" s="40">
        <v>3.9952546296296292E-2</v>
      </c>
      <c r="D19" s="6">
        <f>INDEX('Points Summary'!$F$4:$F$672,G19)</f>
        <v>46.917507946651071</v>
      </c>
      <c r="E19" s="67">
        <f t="shared" si="0"/>
        <v>0.68878894456668516</v>
      </c>
      <c r="F19" s="5"/>
      <c r="G19" s="4">
        <f>MATCH(B19,'Points Summary'!$B$4:$B$673,0)</f>
        <v>6</v>
      </c>
    </row>
    <row r="20" spans="1:12" x14ac:dyDescent="0.2">
      <c r="A20" s="4">
        <v>8</v>
      </c>
      <c r="B20" s="5" t="s">
        <v>509</v>
      </c>
      <c r="C20" s="40">
        <v>3.5393518518518519E-2</v>
      </c>
      <c r="D20" s="6">
        <f>INDEX('Points Summary'!$F$4:$F$672,G20)</f>
        <v>0</v>
      </c>
      <c r="E20" s="67">
        <f t="shared" si="0"/>
        <v>0.77751162777950955</v>
      </c>
      <c r="F20" s="5"/>
      <c r="G20" s="4">
        <f>MATCH(B20,'Points Summary'!$B$4:$B$673,0)</f>
        <v>157</v>
      </c>
    </row>
    <row r="21" spans="1:12" x14ac:dyDescent="0.2">
      <c r="C21" s="40"/>
    </row>
    <row r="22" spans="1:12" x14ac:dyDescent="0.2">
      <c r="C22" s="40"/>
    </row>
    <row r="23" spans="1:12" x14ac:dyDescent="0.2">
      <c r="C23" s="40"/>
    </row>
    <row r="24" spans="1:12" x14ac:dyDescent="0.2">
      <c r="C24" s="40"/>
    </row>
    <row r="25" spans="1:12" x14ac:dyDescent="0.2">
      <c r="C25" s="40"/>
    </row>
    <row r="26" spans="1:12" x14ac:dyDescent="0.2">
      <c r="C26" s="40"/>
    </row>
  </sheetData>
  <sortState ref="A8:G20">
    <sortCondition descending="1" ref="D8:D20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2018 Race Points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workbookViewId="0">
      <selection activeCell="C11" sqref="C11"/>
    </sheetView>
  </sheetViews>
  <sheetFormatPr defaultRowHeight="12.75" x14ac:dyDescent="0.2"/>
  <cols>
    <col min="2" max="2" width="22.7109375" customWidth="1"/>
    <col min="3" max="7" width="9.7109375" customWidth="1"/>
  </cols>
  <sheetData>
    <row r="1" spans="1:10" x14ac:dyDescent="0.2">
      <c r="A1" s="29" t="s">
        <v>10</v>
      </c>
      <c r="B1" s="30" t="s">
        <v>339</v>
      </c>
      <c r="C1" s="31"/>
      <c r="D1" s="31"/>
      <c r="E1" s="31"/>
      <c r="F1" s="31"/>
      <c r="G1" s="32"/>
    </row>
    <row r="2" spans="1:10" x14ac:dyDescent="0.2">
      <c r="A2" s="33" t="s">
        <v>11</v>
      </c>
      <c r="B2" s="34">
        <v>43020</v>
      </c>
      <c r="C2" s="35"/>
      <c r="D2" s="35"/>
      <c r="E2" s="35"/>
      <c r="F2" s="35"/>
      <c r="G2" s="36"/>
    </row>
    <row r="3" spans="1:10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0" x14ac:dyDescent="0.2">
      <c r="A4" s="33" t="s">
        <v>1</v>
      </c>
      <c r="B4" s="37" t="s">
        <v>340</v>
      </c>
      <c r="C4" s="35"/>
      <c r="D4" s="35"/>
      <c r="E4" s="35"/>
      <c r="F4" s="35"/>
      <c r="G4" s="36"/>
    </row>
    <row r="5" spans="1:10" x14ac:dyDescent="0.2">
      <c r="A5" s="33" t="s">
        <v>14</v>
      </c>
      <c r="B5" s="37" t="s">
        <v>71</v>
      </c>
      <c r="C5" s="35"/>
      <c r="D5" s="35"/>
      <c r="E5" s="35" t="s">
        <v>28</v>
      </c>
      <c r="F5" s="52">
        <f>AVERAGE(C8:C10)*(AVERAGE(D8:D10)/100)</f>
        <v>1.8603043449560024E-2</v>
      </c>
      <c r="G5" s="36"/>
    </row>
    <row r="6" spans="1:10" x14ac:dyDescent="0.2">
      <c r="A6" s="38" t="s">
        <v>15</v>
      </c>
      <c r="B6" s="28"/>
      <c r="C6" s="28"/>
      <c r="D6" s="28"/>
      <c r="E6" s="28"/>
      <c r="F6" s="28"/>
      <c r="G6" s="39"/>
    </row>
    <row r="7" spans="1:10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0" x14ac:dyDescent="0.2">
      <c r="A8" s="4">
        <v>1</v>
      </c>
      <c r="B8" s="5" t="s">
        <v>47</v>
      </c>
      <c r="C8" s="66">
        <v>3.0601851851851852E-2</v>
      </c>
      <c r="D8" s="6">
        <f>INDEX('Points Summary'!$H$4:$H$672,G8)</f>
        <v>64.49093138187105</v>
      </c>
      <c r="E8" s="67">
        <f>(AVERAGE($D$8:$D$10)/100*AVERAGE($C$8:$C$10))/C8</f>
        <v>0.60790580712631848</v>
      </c>
      <c r="F8" s="5"/>
      <c r="G8" s="4">
        <f>MATCH(B8,'Points Summary'!$B$4:$B$673,0)</f>
        <v>19</v>
      </c>
      <c r="I8" s="40"/>
      <c r="J8" s="147"/>
    </row>
    <row r="9" spans="1:10" x14ac:dyDescent="0.2">
      <c r="A9" s="4">
        <v>2</v>
      </c>
      <c r="B9" s="5" t="s">
        <v>257</v>
      </c>
      <c r="C9" s="66">
        <v>3.5126157407407405E-2</v>
      </c>
      <c r="D9" s="6">
        <f>INDEX('Points Summary'!$H$4:$H$672,G9)</f>
        <v>49.933028757872883</v>
      </c>
      <c r="E9" s="67">
        <f t="shared" ref="E9:E10" si="0">(AVERAGE($D$8:$D$10)/100*AVERAGE($C$8:$C$10))/C9</f>
        <v>0.52960656167978726</v>
      </c>
      <c r="F9" s="5"/>
      <c r="G9" s="4">
        <f>MATCH(B9,'Points Summary'!$B$4:$B$673,0)</f>
        <v>13</v>
      </c>
      <c r="I9" s="40"/>
      <c r="J9" s="147"/>
    </row>
    <row r="10" spans="1:10" x14ac:dyDescent="0.2">
      <c r="A10" s="4">
        <v>3</v>
      </c>
      <c r="B10" s="5" t="s">
        <v>309</v>
      </c>
      <c r="C10" s="66">
        <v>3.6687499999999998E-2</v>
      </c>
      <c r="D10" s="6">
        <f>INDEX('Points Summary'!$H$4:$H$672,G10)</f>
        <v>49.05459135796616</v>
      </c>
      <c r="E10" s="67">
        <f t="shared" si="0"/>
        <v>0.50706762383809267</v>
      </c>
      <c r="F10" s="5"/>
      <c r="G10" s="4">
        <f>MATCH(B10,'Points Summary'!$B$4:$B$673,0)</f>
        <v>115</v>
      </c>
    </row>
    <row r="11" spans="1:10" x14ac:dyDescent="0.2">
      <c r="A11" s="4"/>
      <c r="B11" s="5"/>
      <c r="C11" s="66"/>
      <c r="D11" s="6"/>
      <c r="E11" s="41"/>
      <c r="F11" s="5"/>
      <c r="G11" s="4"/>
    </row>
    <row r="12" spans="1:10" x14ac:dyDescent="0.2">
      <c r="A12" s="4"/>
      <c r="B12" s="5"/>
      <c r="C12" s="66"/>
      <c r="D12" s="6"/>
      <c r="E12" s="41"/>
      <c r="F12" s="5"/>
      <c r="G12" s="4"/>
    </row>
    <row r="13" spans="1:10" x14ac:dyDescent="0.2">
      <c r="A13" s="4"/>
      <c r="B13" s="5"/>
      <c r="C13" s="66"/>
      <c r="D13" s="6"/>
      <c r="E13" s="41"/>
      <c r="F13" s="5"/>
      <c r="G13" s="4"/>
    </row>
    <row r="14" spans="1:10" x14ac:dyDescent="0.2">
      <c r="A14" s="4"/>
      <c r="B14" s="5"/>
      <c r="C14" s="66"/>
      <c r="D14" s="6"/>
      <c r="E14" s="41"/>
      <c r="F14" s="5"/>
      <c r="G14" s="4"/>
    </row>
    <row r="15" spans="1:10" x14ac:dyDescent="0.2">
      <c r="A15" s="4"/>
      <c r="B15" s="5"/>
      <c r="C15" s="283"/>
      <c r="D15" s="6"/>
      <c r="E15" s="67"/>
      <c r="F15" s="4"/>
      <c r="G15" s="4"/>
    </row>
    <row r="16" spans="1:10" x14ac:dyDescent="0.2">
      <c r="B16" s="284"/>
      <c r="C16" s="66"/>
      <c r="D16" s="66"/>
      <c r="E16" s="60"/>
      <c r="F16" s="66"/>
      <c r="G16" s="4"/>
    </row>
    <row r="17" spans="2:7" x14ac:dyDescent="0.2">
      <c r="B17" s="98"/>
      <c r="C17" s="66"/>
      <c r="D17" s="66"/>
      <c r="E17" s="60"/>
      <c r="F17" s="66"/>
      <c r="G17" s="4"/>
    </row>
    <row r="18" spans="2:7" x14ac:dyDescent="0.2">
      <c r="B18" s="285"/>
      <c r="C18" s="66"/>
      <c r="D18" s="66"/>
      <c r="E18" s="60"/>
      <c r="F18" s="66"/>
    </row>
  </sheetData>
  <sortState ref="A8:D14">
    <sortCondition descending="1" ref="D8:D14"/>
  </sortState>
  <phoneticPr fontId="0" type="noConversion"/>
  <hyperlinks>
    <hyperlink ref="B9" r:id="rId1" display="http://services.biathlonresults.com/athletes.aspx?IbuId=BTBLR20308198602" xr:uid="{00000000-0004-0000-0600-000000000000}"/>
  </hyperlinks>
  <printOptions horizontalCentered="1"/>
  <pageMargins left="0.75" right="0.75" top="1" bottom="1" header="0.5" footer="0.5"/>
  <pageSetup orientation="portrait" horizontalDpi="4294967292" verticalDpi="1200" r:id="rId2"/>
  <headerFooter alignWithMargins="0">
    <oddHeader xml:space="preserve">&amp;L&amp;"Tahoma,Bold"&amp;11U.S. Biathlon Association&amp;R&amp;"Tahoma,Bold"&amp;11 2018 Race Points 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L19"/>
  <sheetViews>
    <sheetView workbookViewId="0">
      <selection activeCell="F12" sqref="F1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 t="s">
        <v>520</v>
      </c>
      <c r="C1" s="31"/>
      <c r="D1" s="31"/>
      <c r="E1" s="31"/>
      <c r="F1" s="31"/>
      <c r="G1" s="32"/>
    </row>
    <row r="2" spans="1:12" x14ac:dyDescent="0.2">
      <c r="A2" s="33" t="s">
        <v>11</v>
      </c>
      <c r="B2" s="34">
        <v>43190</v>
      </c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321</v>
      </c>
      <c r="C5" s="35"/>
      <c r="D5" s="35"/>
      <c r="E5" s="35" t="s">
        <v>28</v>
      </c>
      <c r="F5" s="40">
        <f>AVERAGE(C8:C10)*(AVERAGE(D8:D10)/100)</f>
        <v>1.3680874253176534E-2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19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2" ht="15" x14ac:dyDescent="0.25">
      <c r="A8" s="4">
        <v>1</v>
      </c>
      <c r="B8" s="42" t="s">
        <v>245</v>
      </c>
      <c r="C8" s="60">
        <v>1.8487268518518517E-2</v>
      </c>
      <c r="D8" s="6">
        <f>INDEX('Points Summary'!$F$4:$F$672,G8)</f>
        <v>74.046015962152183</v>
      </c>
      <c r="E8" s="67">
        <f t="shared" ref="E8:E14" si="0">(AVERAGE($D$8:$D$10)/100*AVERAGE($C$8:$C$10))/C8</f>
        <v>0.74001598664900314</v>
      </c>
      <c r="F8" s="5"/>
      <c r="G8" s="4">
        <f>MATCH(B8,'Points Summary'!$B$4:$B$673,0)</f>
        <v>142</v>
      </c>
      <c r="I8" s="104"/>
      <c r="L8" s="40"/>
    </row>
    <row r="9" spans="1:12" x14ac:dyDescent="0.2">
      <c r="A9" s="4">
        <v>2</v>
      </c>
      <c r="B9" s="5" t="s">
        <v>243</v>
      </c>
      <c r="C9" s="60">
        <v>1.8887731481481481E-2</v>
      </c>
      <c r="D9" s="6">
        <f>INDEX('Points Summary'!$F$4:$F$672,G9)</f>
        <v>70.830558800225518</v>
      </c>
      <c r="E9" s="67">
        <f t="shared" si="0"/>
        <v>0.72432596082753387</v>
      </c>
      <c r="F9" s="5"/>
      <c r="G9" s="4">
        <f>MATCH(B9,'Points Summary'!$B$4:$B$673,0)</f>
        <v>120</v>
      </c>
      <c r="I9" s="105"/>
      <c r="L9" s="40"/>
    </row>
    <row r="10" spans="1:12" ht="15" x14ac:dyDescent="0.25">
      <c r="A10" s="4">
        <v>4</v>
      </c>
      <c r="B10" s="5" t="s">
        <v>451</v>
      </c>
      <c r="C10" s="60">
        <v>1.9798611111111111E-2</v>
      </c>
      <c r="D10" s="6">
        <f>INDEX('Points Summary'!$F$4:$F$672,G10)</f>
        <v>70.481290318598795</v>
      </c>
      <c r="E10" s="67">
        <f t="shared" si="0"/>
        <v>0.69100171604960403</v>
      </c>
      <c r="F10" s="5"/>
      <c r="G10" s="4">
        <f>MATCH(B10,'Points Summary'!$B$4:$B$673,0)</f>
        <v>85</v>
      </c>
      <c r="I10" s="104"/>
      <c r="L10" s="40"/>
    </row>
    <row r="11" spans="1:12" ht="15" x14ac:dyDescent="0.25">
      <c r="A11" s="4">
        <v>6</v>
      </c>
      <c r="B11" s="5" t="s">
        <v>253</v>
      </c>
      <c r="C11" s="60">
        <v>2.1351851851851854E-2</v>
      </c>
      <c r="D11" s="6">
        <f>INDEX('Points Summary'!$F$4:$F$672,G11)</f>
        <v>68.776933489945691</v>
      </c>
      <c r="E11" s="67">
        <f t="shared" si="0"/>
        <v>0.64073478722596078</v>
      </c>
      <c r="F11" s="5"/>
      <c r="G11" s="4">
        <f>MATCH(B11,'Points Summary'!$B$4:$B$673,0)</f>
        <v>10</v>
      </c>
      <c r="I11" s="104"/>
      <c r="L11" s="40"/>
    </row>
    <row r="12" spans="1:12" ht="15" x14ac:dyDescent="0.25">
      <c r="A12" s="4">
        <v>3</v>
      </c>
      <c r="B12" s="42" t="s">
        <v>252</v>
      </c>
      <c r="C12" s="60">
        <v>1.9394675925925926E-2</v>
      </c>
      <c r="D12" s="6">
        <f>INDEX('Points Summary'!$F$4:$F$672,G12)</f>
        <v>67.727863216770146</v>
      </c>
      <c r="E12" s="67">
        <f t="shared" si="0"/>
        <v>0.70539328965474279</v>
      </c>
      <c r="F12" s="5"/>
      <c r="G12" s="4">
        <f>MATCH(B12,'Points Summary'!$B$4:$B$673,0)</f>
        <v>147</v>
      </c>
      <c r="I12" s="104"/>
      <c r="L12" s="40"/>
    </row>
    <row r="13" spans="1:12" ht="15" x14ac:dyDescent="0.25">
      <c r="A13" s="4">
        <v>7</v>
      </c>
      <c r="B13" s="5" t="s">
        <v>364</v>
      </c>
      <c r="C13" s="60">
        <v>2.2128472222222223E-2</v>
      </c>
      <c r="D13" s="6">
        <f>INDEX('Points Summary'!$F$4:$F$672,G13)</f>
        <v>63.975184384617123</v>
      </c>
      <c r="E13" s="67">
        <f t="shared" si="0"/>
        <v>0.61824757334298475</v>
      </c>
      <c r="F13" s="5"/>
      <c r="G13" s="4">
        <f>MATCH(B13,'Points Summary'!$B$4:$B$673,0)</f>
        <v>20</v>
      </c>
      <c r="I13" s="104"/>
      <c r="L13" s="40"/>
    </row>
    <row r="14" spans="1:12" ht="15" x14ac:dyDescent="0.25">
      <c r="A14" s="4">
        <v>5</v>
      </c>
      <c r="B14" s="5" t="s">
        <v>366</v>
      </c>
      <c r="C14" s="60">
        <v>2.062962962962963E-2</v>
      </c>
      <c r="D14" s="6">
        <f>INDEX('Points Summary'!$F$4:$F$672,G14)</f>
        <v>62.167923524010817</v>
      </c>
      <c r="E14" s="67">
        <f t="shared" si="0"/>
        <v>0.66316625643764171</v>
      </c>
      <c r="F14" s="5"/>
      <c r="G14" s="4">
        <f>MATCH(B14,'Points Summary'!$B$4:$B$673,0)</f>
        <v>45</v>
      </c>
      <c r="I14" s="104"/>
      <c r="L14" s="40"/>
    </row>
    <row r="15" spans="1:12" ht="15" x14ac:dyDescent="0.25">
      <c r="A15" s="4"/>
      <c r="B15" s="5"/>
      <c r="C15" s="60"/>
      <c r="D15" s="6"/>
      <c r="E15" s="41"/>
      <c r="F15" s="5"/>
      <c r="G15" s="4"/>
      <c r="I15" s="104"/>
      <c r="L15" s="40"/>
    </row>
    <row r="16" spans="1:12" ht="15" x14ac:dyDescent="0.25">
      <c r="A16" s="4"/>
      <c r="B16" s="5"/>
      <c r="C16" s="60"/>
      <c r="D16" s="6"/>
      <c r="E16" s="41"/>
      <c r="F16" s="5"/>
      <c r="G16" s="4"/>
      <c r="I16" s="104"/>
      <c r="L16" s="40"/>
    </row>
    <row r="17" spans="1:12" ht="15" x14ac:dyDescent="0.25">
      <c r="A17" s="4"/>
      <c r="B17" s="5"/>
      <c r="C17" s="60"/>
      <c r="D17" s="6"/>
      <c r="E17" s="41"/>
      <c r="F17" s="5"/>
      <c r="G17" s="4"/>
      <c r="I17" s="104"/>
      <c r="L17" s="40"/>
    </row>
    <row r="18" spans="1:12" ht="15" x14ac:dyDescent="0.25">
      <c r="A18" s="4"/>
      <c r="B18" s="5"/>
      <c r="C18" s="60"/>
      <c r="D18" s="6"/>
      <c r="E18" s="41"/>
      <c r="F18" s="5"/>
      <c r="G18" s="4"/>
      <c r="I18" s="104"/>
      <c r="L18" s="40"/>
    </row>
    <row r="19" spans="1:12" ht="15" x14ac:dyDescent="0.25">
      <c r="C19" s="60"/>
      <c r="I19" s="104"/>
      <c r="L19" s="40"/>
    </row>
  </sheetData>
  <sortState ref="A8:G14">
    <sortCondition descending="1" ref="D8:D14"/>
  </sortState>
  <hyperlinks>
    <hyperlink ref="B10" r:id="rId1" display="http://services.biathlonresults.com/athletes.aspx?IbuId=BTUSA22401199001" xr:uid="{2445E0E3-88C4-431D-A0C1-E305791B2963}"/>
  </hyperlinks>
  <printOptions horizontalCentered="1"/>
  <pageMargins left="0.7" right="0.7" top="0.75" bottom="0.75" header="0.3" footer="0.3"/>
  <pageSetup orientation="portrait" horizontalDpi="1200" verticalDpi="1200" r:id="rId2"/>
  <headerFooter>
    <oddHeader>&amp;L&amp;"Tahoma,Bold"&amp;11U.S. Biathlon Association&amp;R&amp;"Tahoma,Bold"&amp;11 2018 Race Points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17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/>
      <c r="C1" s="31"/>
      <c r="D1" s="31"/>
      <c r="E1" s="31"/>
      <c r="F1" s="31"/>
      <c r="G1" s="32"/>
    </row>
    <row r="2" spans="1:11" x14ac:dyDescent="0.2">
      <c r="A2" s="33" t="s">
        <v>11</v>
      </c>
      <c r="B2" s="34"/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264</v>
      </c>
      <c r="C5" s="35"/>
      <c r="D5" s="35"/>
      <c r="E5" s="35" t="s">
        <v>28</v>
      </c>
      <c r="F5" s="52">
        <f>AVERAGE(C8:C9)*(AVERAGE(D8:D9)/100)</f>
        <v>1.4088689081500287E-2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ht="15" x14ac:dyDescent="0.25">
      <c r="A8" s="4">
        <v>6</v>
      </c>
      <c r="B8" s="5" t="s">
        <v>66</v>
      </c>
      <c r="C8" s="40">
        <v>2.7773148148148148E-2</v>
      </c>
      <c r="D8" s="6">
        <f>INDEX('Points Summary'!$F$4:$F$672,G8)</f>
        <v>49.491108471830572</v>
      </c>
      <c r="E8" s="67">
        <f>(AVERAGE($D$8:$D$9)/100*AVERAGE($C$8:$C$9))/C8</f>
        <v>0.50727735315953693</v>
      </c>
      <c r="F8" s="5"/>
      <c r="G8" s="4">
        <f>MATCH(B8,'Points Summary'!$B$4:$B$673,0)</f>
        <v>18</v>
      </c>
      <c r="I8" s="106"/>
      <c r="K8" s="40"/>
    </row>
    <row r="9" spans="1:11" ht="15" x14ac:dyDescent="0.25">
      <c r="A9" s="4">
        <v>1</v>
      </c>
      <c r="B9" s="5" t="s">
        <v>257</v>
      </c>
      <c r="C9" s="40">
        <v>2.7909722222222221E-2</v>
      </c>
      <c r="D9" s="6">
        <f>INDEX('Points Summary'!$F$4:$F$672,G9)</f>
        <v>51.715521055637709</v>
      </c>
      <c r="E9" s="67">
        <f t="shared" ref="E9:E10" si="0">(AVERAGE($D$8:$D$9)/100*AVERAGE($C$8:$C$9))/C9</f>
        <v>0.50479503053895036</v>
      </c>
      <c r="F9" s="5"/>
      <c r="G9" s="4">
        <f>MATCH(B9,'Points Summary'!$B$4:$B$673,0)</f>
        <v>13</v>
      </c>
      <c r="I9" s="106"/>
      <c r="K9" s="40"/>
    </row>
    <row r="10" spans="1:11" ht="15" x14ac:dyDescent="0.25">
      <c r="A10" s="4">
        <v>4</v>
      </c>
      <c r="B10" s="5" t="s">
        <v>309</v>
      </c>
      <c r="C10" s="40">
        <v>2.8320601851851854E-2</v>
      </c>
      <c r="D10" s="6">
        <f>INDEX('Points Summary'!$F$4:$F$672,G10)</f>
        <v>50.70676238380927</v>
      </c>
      <c r="E10" s="67">
        <f t="shared" si="0"/>
        <v>0.49747138691471854</v>
      </c>
      <c r="F10" s="5"/>
      <c r="G10" s="4">
        <f>MATCH(B10,'Points Summary'!$B$4:$B$673,0)</f>
        <v>115</v>
      </c>
      <c r="I10" s="106"/>
      <c r="K10" s="40"/>
    </row>
    <row r="11" spans="1:11" ht="15" x14ac:dyDescent="0.25">
      <c r="A11" s="4"/>
      <c r="B11" s="5"/>
      <c r="C11" s="40"/>
      <c r="D11" s="6"/>
      <c r="E11" s="41"/>
      <c r="F11" s="5"/>
      <c r="G11" s="4"/>
      <c r="I11" s="106"/>
      <c r="K11" s="40"/>
    </row>
    <row r="12" spans="1:11" ht="15" x14ac:dyDescent="0.25">
      <c r="A12" s="4"/>
      <c r="B12" s="5"/>
      <c r="C12" s="40"/>
      <c r="D12" s="6"/>
      <c r="E12" s="41"/>
      <c r="F12" s="5"/>
      <c r="G12" s="4"/>
      <c r="I12" s="106"/>
      <c r="K12" s="40"/>
    </row>
    <row r="13" spans="1:11" ht="15" x14ac:dyDescent="0.25">
      <c r="A13" s="4"/>
      <c r="B13" s="5"/>
      <c r="C13" s="40"/>
      <c r="D13" s="6"/>
      <c r="E13" s="41"/>
      <c r="F13" s="5"/>
      <c r="G13" s="4"/>
      <c r="I13" s="106"/>
      <c r="K13" s="40"/>
    </row>
    <row r="14" spans="1:11" ht="15" x14ac:dyDescent="0.25">
      <c r="A14" s="4"/>
      <c r="B14" s="5"/>
      <c r="C14" s="40"/>
      <c r="D14" s="6"/>
      <c r="E14" s="41"/>
      <c r="F14" s="5"/>
      <c r="G14" s="4"/>
      <c r="I14" s="106"/>
      <c r="K14" s="40"/>
    </row>
    <row r="15" spans="1:11" ht="15" x14ac:dyDescent="0.25">
      <c r="A15" s="4"/>
      <c r="B15" s="5"/>
      <c r="C15" s="40"/>
      <c r="D15" s="6"/>
      <c r="E15" s="41"/>
      <c r="F15" s="5"/>
      <c r="G15" s="4"/>
      <c r="I15" s="106"/>
      <c r="K15" s="40"/>
    </row>
    <row r="16" spans="1:11" x14ac:dyDescent="0.2">
      <c r="A16" s="4"/>
      <c r="B16" s="5"/>
      <c r="C16" s="40"/>
      <c r="D16" s="6"/>
      <c r="E16" s="41"/>
      <c r="F16" s="5"/>
      <c r="G16" s="4"/>
    </row>
    <row r="17" spans="2:2" x14ac:dyDescent="0.2">
      <c r="B17" s="5"/>
    </row>
  </sheetData>
  <sortState ref="A8:E10">
    <sortCondition descending="1" ref="D8:D10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2017 Race Points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21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/>
      <c r="C1" s="31"/>
      <c r="D1" s="31"/>
      <c r="E1" s="31"/>
      <c r="F1" s="31"/>
      <c r="G1" s="32"/>
    </row>
    <row r="2" spans="1:12" x14ac:dyDescent="0.2">
      <c r="A2" s="33" t="s">
        <v>11</v>
      </c>
      <c r="B2" s="34"/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1.7442790090892814E-2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2" x14ac:dyDescent="0.2">
      <c r="A8" s="68">
        <v>1</v>
      </c>
      <c r="B8" s="5" t="s">
        <v>58</v>
      </c>
      <c r="C8" s="40">
        <v>1.7030092592592583E-2</v>
      </c>
      <c r="D8" s="6">
        <f>INDEX('Points Summary'!$F$4:$F$672,G8)</f>
        <v>99.28871437032133</v>
      </c>
      <c r="E8" s="41">
        <f t="shared" ref="E8:E17" si="0">(AVERAGE($D$8:$D$10)/100*AVERAGE($C$8:$C$10))/C8</f>
        <v>1.0242334265686692</v>
      </c>
      <c r="F8" s="5"/>
      <c r="G8" s="4">
        <f>MATCH(B8,'Points Summary'!$B$4:$B$673,0)</f>
        <v>41</v>
      </c>
      <c r="J8" s="40"/>
      <c r="K8" s="40"/>
      <c r="L8" s="40"/>
    </row>
    <row r="9" spans="1:12" x14ac:dyDescent="0.2">
      <c r="A9" s="4">
        <v>3</v>
      </c>
      <c r="B9" s="5" t="s">
        <v>221</v>
      </c>
      <c r="C9" s="40">
        <v>1.8621527777777758E-2</v>
      </c>
      <c r="D9" s="6">
        <f>INDEX('Points Summary'!$F$4:$F$672,G9)</f>
        <v>97.172319392285544</v>
      </c>
      <c r="E9" s="41">
        <f t="shared" si="0"/>
        <v>0.93670026965823905</v>
      </c>
      <c r="F9" s="5"/>
      <c r="G9" s="4">
        <f>MATCH(B9,'Points Summary'!$B$4:$B$673,0)</f>
        <v>42</v>
      </c>
      <c r="J9" s="40"/>
      <c r="K9" s="40"/>
      <c r="L9" s="40"/>
    </row>
    <row r="10" spans="1:12" x14ac:dyDescent="0.2">
      <c r="A10" s="68">
        <v>2</v>
      </c>
      <c r="B10" s="5" t="s">
        <v>249</v>
      </c>
      <c r="C10" s="40">
        <v>1.8355671296296339E-2</v>
      </c>
      <c r="D10" s="6">
        <f>INDEX('Points Summary'!$F$4:$F$672,G10)</f>
        <v>94.212884468561555</v>
      </c>
      <c r="E10" s="41">
        <f t="shared" si="0"/>
        <v>0.95026707600785387</v>
      </c>
      <c r="F10" s="5"/>
      <c r="G10" s="4">
        <f>MATCH(B10,'Points Summary'!$B$4:$B$673,0)</f>
        <v>106</v>
      </c>
    </row>
    <row r="11" spans="1:12" x14ac:dyDescent="0.2">
      <c r="A11" s="68">
        <v>6</v>
      </c>
      <c r="B11" s="5" t="s">
        <v>216</v>
      </c>
      <c r="C11" s="40">
        <v>1.9570833333333371E-2</v>
      </c>
      <c r="D11" s="6">
        <f>INDEX('Points Summary'!$F$4:$F$672,G11)</f>
        <v>93.181593215393349</v>
      </c>
      <c r="E11" s="41">
        <f t="shared" si="0"/>
        <v>0.89126455648589897</v>
      </c>
      <c r="F11" s="5"/>
      <c r="G11" s="4">
        <f>MATCH(B11,'Points Summary'!$B$4:$B$673,0)</f>
        <v>101</v>
      </c>
    </row>
    <row r="12" spans="1:12" x14ac:dyDescent="0.2">
      <c r="A12" s="68">
        <v>7</v>
      </c>
      <c r="B12" s="5" t="s">
        <v>247</v>
      </c>
      <c r="C12" s="40">
        <v>1.9867592592592576E-2</v>
      </c>
      <c r="D12" s="6">
        <f>INDEX('Points Summary'!$F$4:$F$672,G12)</f>
        <v>94.570492340017523</v>
      </c>
      <c r="E12" s="41">
        <f t="shared" si="0"/>
        <v>0.87795187109867434</v>
      </c>
      <c r="F12" s="5"/>
      <c r="G12" s="4">
        <f>MATCH(B12,'Points Summary'!$B$4:$B$673,0)</f>
        <v>40</v>
      </c>
    </row>
    <row r="13" spans="1:12" x14ac:dyDescent="0.2">
      <c r="A13" s="68">
        <v>8</v>
      </c>
      <c r="B13" s="5" t="s">
        <v>231</v>
      </c>
      <c r="C13" s="40">
        <v>2.0236111111111066E-2</v>
      </c>
      <c r="D13" s="6">
        <f>INDEX('Points Summary'!$F$4:$F$672,G13)</f>
        <v>85.325968996449333</v>
      </c>
      <c r="E13" s="41">
        <f t="shared" si="0"/>
        <v>0.86196354601529546</v>
      </c>
      <c r="F13" s="5"/>
      <c r="G13" s="4">
        <f>MATCH(B13,'Points Summary'!$B$4:$B$673,0)</f>
        <v>43</v>
      </c>
    </row>
    <row r="14" spans="1:12" x14ac:dyDescent="0.2">
      <c r="A14" s="4">
        <v>5</v>
      </c>
      <c r="B14" s="5" t="s">
        <v>259</v>
      </c>
      <c r="C14" s="40">
        <v>1.9072569444444465E-2</v>
      </c>
      <c r="D14" s="6">
        <f>INDEX('Points Summary'!$F$4:$F$672,G14)</f>
        <v>85.59089880914452</v>
      </c>
      <c r="E14" s="41">
        <f t="shared" si="0"/>
        <v>0.91454851648075242</v>
      </c>
      <c r="F14" s="5"/>
      <c r="G14" s="4">
        <f>MATCH(B14,'Points Summary'!$B$4:$B$673,0)</f>
        <v>57</v>
      </c>
    </row>
    <row r="15" spans="1:12" x14ac:dyDescent="0.2">
      <c r="A15" s="4">
        <v>4</v>
      </c>
      <c r="B15" s="5" t="s">
        <v>215</v>
      </c>
      <c r="C15" s="40">
        <v>1.8654629629629604E-2</v>
      </c>
      <c r="D15" s="6">
        <f>INDEX('Points Summary'!$F$4:$F$672,G15)</f>
        <v>87.292937793180371</v>
      </c>
      <c r="E15" s="41">
        <f t="shared" si="0"/>
        <v>0.93503813461876528</v>
      </c>
      <c r="F15" s="5"/>
      <c r="G15" s="4">
        <f>MATCH(B15,'Points Summary'!$B$4:$B$673,0)</f>
        <v>38</v>
      </c>
    </row>
    <row r="16" spans="1:12" x14ac:dyDescent="0.2">
      <c r="A16" s="68">
        <v>1</v>
      </c>
      <c r="B16" s="5" t="s">
        <v>222</v>
      </c>
      <c r="C16" s="40">
        <v>2.1029861111111103E-2</v>
      </c>
      <c r="D16" s="6">
        <f>INDEX('Points Summary'!$F$4:$F$672,G16)</f>
        <v>75.440297331598515</v>
      </c>
      <c r="E16" s="41">
        <f t="shared" si="0"/>
        <v>0.82942963811001758</v>
      </c>
      <c r="F16" s="5"/>
      <c r="G16" s="4">
        <f>MATCH(B16,'Points Summary'!$B$4:$B$673,0)</f>
        <v>121</v>
      </c>
    </row>
    <row r="17" spans="1:7" x14ac:dyDescent="0.2">
      <c r="A17" s="68">
        <v>9</v>
      </c>
      <c r="B17" s="5" t="s">
        <v>62</v>
      </c>
      <c r="C17" s="40">
        <v>2.2433217592592647E-2</v>
      </c>
      <c r="D17" s="6">
        <f>INDEX('Points Summary'!$F$4:$F$672,G17)</f>
        <v>68.83916201810105</v>
      </c>
      <c r="E17" s="41">
        <f t="shared" si="0"/>
        <v>0.777542945807843</v>
      </c>
      <c r="F17" s="5"/>
      <c r="G17" s="4">
        <f>MATCH(B17,'Points Summary'!$B$4:$B$673,0)</f>
        <v>70</v>
      </c>
    </row>
    <row r="18" spans="1:7" x14ac:dyDescent="0.2">
      <c r="B18" s="5"/>
      <c r="C18" s="40"/>
      <c r="D18" s="6"/>
      <c r="E18" s="41"/>
      <c r="F18" s="5"/>
      <c r="G18" s="4"/>
    </row>
    <row r="19" spans="1:7" x14ac:dyDescent="0.2">
      <c r="B19" s="5"/>
      <c r="C19" s="40"/>
      <c r="D19" s="6"/>
      <c r="E19" s="41"/>
      <c r="F19" s="5"/>
      <c r="G19" s="4"/>
    </row>
    <row r="20" spans="1:7" x14ac:dyDescent="0.2">
      <c r="B20" s="5"/>
      <c r="C20" s="40"/>
      <c r="D20" s="6"/>
      <c r="E20" s="41"/>
      <c r="F20" s="5"/>
      <c r="G20" s="4"/>
    </row>
    <row r="21" spans="1:7" x14ac:dyDescent="0.2">
      <c r="B21" s="5"/>
      <c r="C21" s="40"/>
      <c r="D21" s="6"/>
      <c r="E21" s="41"/>
      <c r="F21" s="5"/>
      <c r="G21" s="4"/>
    </row>
  </sheetData>
  <sortState ref="A8:G17">
    <sortCondition descending="1" ref="D8:D17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28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242</v>
      </c>
      <c r="C8" s="40">
        <v>1.7454398148148142E-2</v>
      </c>
      <c r="D8" s="6">
        <f>INDEX('Points Summary'!$F$4:$F$672,G8)</f>
        <v>70.939536977561588</v>
      </c>
      <c r="E8" s="67" t="e">
        <f t="shared" ref="E8:E21" si="0">(AVERAGE($D$8:$D$10)/100*AVERAGE($C$8:$C$10))/C8</f>
        <v>#N/A</v>
      </c>
      <c r="F8" s="5"/>
      <c r="G8" s="4">
        <f>MATCH(B8,'Points Summary'!$B$4:$B$673,0)</f>
        <v>54</v>
      </c>
    </row>
    <row r="9" spans="1:7" x14ac:dyDescent="0.2">
      <c r="A9" s="4">
        <v>4</v>
      </c>
      <c r="B9" s="42" t="s">
        <v>297</v>
      </c>
      <c r="C9" s="40">
        <v>1.8340740740740713E-2</v>
      </c>
      <c r="D9" s="6" t="e">
        <f>INDEX('Points Summary'!$F$4:$F$672,G9)</f>
        <v>#N/A</v>
      </c>
      <c r="E9" s="67" t="e">
        <f t="shared" si="0"/>
        <v>#N/A</v>
      </c>
      <c r="F9" s="5"/>
      <c r="G9" s="4" t="e">
        <f>MATCH(B9,'Points Summary'!$B$4:$B$673,0)</f>
        <v>#N/A</v>
      </c>
    </row>
    <row r="10" spans="1:7" x14ac:dyDescent="0.2">
      <c r="A10" s="68">
        <v>2</v>
      </c>
      <c r="B10" s="5" t="s">
        <v>245</v>
      </c>
      <c r="C10" s="40">
        <v>1.7574421296296272E-2</v>
      </c>
      <c r="D10" s="6">
        <f>INDEX('Points Summary'!$F$4:$F$672,G10)</f>
        <v>74.046015962152183</v>
      </c>
      <c r="E10" s="67" t="e">
        <f t="shared" si="0"/>
        <v>#N/A</v>
      </c>
      <c r="F10" s="5"/>
      <c r="G10" s="4">
        <f>MATCH(B10,'Points Summary'!$B$4:$B$673,0)</f>
        <v>142</v>
      </c>
    </row>
    <row r="11" spans="1:7" x14ac:dyDescent="0.2">
      <c r="A11" s="68">
        <v>5</v>
      </c>
      <c r="B11" s="5" t="s">
        <v>252</v>
      </c>
      <c r="C11" s="40">
        <v>1.8835879629629626E-2</v>
      </c>
      <c r="D11" s="6">
        <f>INDEX('Points Summary'!$F$4:$F$672,G11)</f>
        <v>67.727863216770146</v>
      </c>
      <c r="E11" s="67" t="e">
        <f t="shared" si="0"/>
        <v>#N/A</v>
      </c>
      <c r="F11" s="5"/>
      <c r="G11" s="4">
        <f>MATCH(B11,'Points Summary'!$B$4:$B$673,0)</f>
        <v>147</v>
      </c>
    </row>
    <row r="12" spans="1:7" x14ac:dyDescent="0.2">
      <c r="A12" s="4">
        <v>3</v>
      </c>
      <c r="B12" s="5" t="s">
        <v>251</v>
      </c>
      <c r="C12" s="40">
        <v>1.768020833333328E-2</v>
      </c>
      <c r="D12" s="6">
        <f>INDEX('Points Summary'!$F$4:$F$672,G12)</f>
        <v>69.575196820506108</v>
      </c>
      <c r="E12" s="67" t="e">
        <f t="shared" si="0"/>
        <v>#N/A</v>
      </c>
      <c r="F12" s="5"/>
      <c r="G12" s="4">
        <f>MATCH(B12,'Points Summary'!$B$4:$B$673,0)</f>
        <v>125</v>
      </c>
    </row>
    <row r="13" spans="1:7" x14ac:dyDescent="0.2">
      <c r="A13" s="68">
        <v>6</v>
      </c>
      <c r="B13" s="5" t="s">
        <v>253</v>
      </c>
      <c r="C13" s="40">
        <v>1.936122685185182E-2</v>
      </c>
      <c r="D13" s="6">
        <f>INDEX('Points Summary'!$F$4:$F$672,G13)</f>
        <v>68.776933489945691</v>
      </c>
      <c r="E13" s="67" t="e">
        <f t="shared" si="0"/>
        <v>#N/A</v>
      </c>
      <c r="F13" s="5"/>
      <c r="G13" s="4">
        <f>MATCH(B13,'Points Summary'!$B$4:$B$673,0)</f>
        <v>10</v>
      </c>
    </row>
    <row r="14" spans="1:7" x14ac:dyDescent="0.2">
      <c r="A14" s="68">
        <v>7</v>
      </c>
      <c r="B14" s="5" t="s">
        <v>244</v>
      </c>
      <c r="C14" s="40">
        <v>2.4036921296296254E-2</v>
      </c>
      <c r="D14" s="6">
        <f>INDEX('Points Summary'!$F$4:$F$672,G14)</f>
        <v>62.98028669114376</v>
      </c>
      <c r="E14" s="67" t="e">
        <f t="shared" si="0"/>
        <v>#N/A</v>
      </c>
      <c r="F14" s="5"/>
      <c r="G14" s="4">
        <f>MATCH(B14,'Points Summary'!$B$4:$B$673,0)</f>
        <v>93</v>
      </c>
    </row>
    <row r="15" spans="1:7" x14ac:dyDescent="0.2">
      <c r="A15" s="68">
        <v>2</v>
      </c>
      <c r="B15" t="s">
        <v>218</v>
      </c>
      <c r="C15" s="40">
        <v>2.3101851851851873E-2</v>
      </c>
      <c r="D15" s="6">
        <f>INDEX('Points Summary'!$F$4:$F$672,G15)</f>
        <v>51.602765234211425</v>
      </c>
      <c r="E15" s="67" t="e">
        <f t="shared" si="0"/>
        <v>#N/A</v>
      </c>
      <c r="F15" s="5"/>
      <c r="G15" s="4">
        <f>MATCH(B15,'Points Summary'!$B$4:$B$673,0)</f>
        <v>50</v>
      </c>
    </row>
    <row r="16" spans="1:7" x14ac:dyDescent="0.2">
      <c r="A16" s="68">
        <v>3</v>
      </c>
      <c r="B16" t="s">
        <v>232</v>
      </c>
      <c r="C16" s="40">
        <v>2.3568865740740741E-2</v>
      </c>
      <c r="D16" s="6">
        <f>INDEX('Points Summary'!$F$4:$F$672,G16)</f>
        <v>53.320357367520515</v>
      </c>
      <c r="E16" s="67" t="e">
        <f t="shared" si="0"/>
        <v>#N/A</v>
      </c>
      <c r="F16" s="5"/>
      <c r="G16" s="4">
        <f>MATCH(B16,'Points Summary'!$B$4:$B$673,0)</f>
        <v>133</v>
      </c>
    </row>
    <row r="17" spans="1:7" x14ac:dyDescent="0.2">
      <c r="A17" s="68">
        <v>1</v>
      </c>
      <c r="B17" t="s">
        <v>257</v>
      </c>
      <c r="C17" s="40">
        <v>2.2918055555555539E-2</v>
      </c>
      <c r="D17" s="6">
        <f>INDEX('Points Summary'!$F$4:$F$672,G17)</f>
        <v>51.715521055637709</v>
      </c>
      <c r="E17" s="67" t="e">
        <f t="shared" si="0"/>
        <v>#N/A</v>
      </c>
      <c r="F17" s="5"/>
      <c r="G17" s="4">
        <f>MATCH(B17,'Points Summary'!$B$4:$B$673,0)</f>
        <v>13</v>
      </c>
    </row>
    <row r="18" spans="1:7" x14ac:dyDescent="0.2">
      <c r="A18" s="68">
        <v>2</v>
      </c>
      <c r="B18" s="5" t="s">
        <v>289</v>
      </c>
      <c r="C18" s="40">
        <v>2.2669791666666661E-2</v>
      </c>
      <c r="D18" s="6">
        <f>INDEX('Points Summary'!$F$4:$F$672,G18)</f>
        <v>52.076525659277756</v>
      </c>
      <c r="E18" s="67" t="e">
        <f t="shared" si="0"/>
        <v>#N/A</v>
      </c>
      <c r="F18" s="5"/>
      <c r="G18" s="4">
        <f>MATCH(B18,'Points Summary'!$B$4:$B$673,0)</f>
        <v>11</v>
      </c>
    </row>
    <row r="19" spans="1:7" x14ac:dyDescent="0.2">
      <c r="A19" s="68">
        <v>1</v>
      </c>
      <c r="B19" s="5" t="s">
        <v>310</v>
      </c>
      <c r="C19" s="40">
        <v>2.1069675925925846E-2</v>
      </c>
      <c r="D19" s="6">
        <f>INDEX('Points Summary'!$F$4:$F$672,G19)</f>
        <v>53.048121598438328</v>
      </c>
      <c r="E19" s="67" t="e">
        <f t="shared" si="0"/>
        <v>#N/A</v>
      </c>
      <c r="F19" s="5"/>
      <c r="G19" s="4">
        <f>MATCH(B19,'Points Summary'!$B$4:$B$673,0)</f>
        <v>4</v>
      </c>
    </row>
    <row r="20" spans="1:7" x14ac:dyDescent="0.2">
      <c r="A20" s="68">
        <v>3</v>
      </c>
      <c r="B20" s="5" t="s">
        <v>311</v>
      </c>
      <c r="C20" s="40">
        <v>2.6903703703703707E-2</v>
      </c>
      <c r="D20" s="6">
        <f>INDEX('Points Summary'!$F$4:$F$672,G20)</f>
        <v>55.890232926742982</v>
      </c>
      <c r="E20" s="67" t="e">
        <f t="shared" si="0"/>
        <v>#N/A</v>
      </c>
      <c r="F20" s="5"/>
      <c r="G20" s="4">
        <f>MATCH(B20,'Points Summary'!$B$4:$B$673,0)</f>
        <v>63</v>
      </c>
    </row>
    <row r="21" spans="1:7" x14ac:dyDescent="0.2">
      <c r="A21" s="68">
        <v>1</v>
      </c>
      <c r="B21" t="s">
        <v>312</v>
      </c>
      <c r="C21" s="40">
        <v>2.2032407407407417E-2</v>
      </c>
      <c r="D21" s="6">
        <f>INDEX('Points Summary'!$F$4:$F$672,G21)</f>
        <v>52.452932111557999</v>
      </c>
      <c r="E21" s="67" t="e">
        <f t="shared" si="0"/>
        <v>#N/A</v>
      </c>
      <c r="F21" s="5"/>
      <c r="G21" s="4">
        <f>MATCH(B21,'Points Summary'!$B$4:$B$673,0)</f>
        <v>66</v>
      </c>
    </row>
    <row r="22" spans="1:7" x14ac:dyDescent="0.2">
      <c r="C22" s="40"/>
    </row>
    <row r="23" spans="1:7" x14ac:dyDescent="0.2">
      <c r="C23" s="40"/>
    </row>
    <row r="24" spans="1:7" x14ac:dyDescent="0.2">
      <c r="C24" s="40"/>
    </row>
    <row r="25" spans="1:7" x14ac:dyDescent="0.2">
      <c r="C25" s="40"/>
    </row>
    <row r="26" spans="1:7" x14ac:dyDescent="0.2">
      <c r="C26" s="40"/>
    </row>
    <row r="27" spans="1:7" x14ac:dyDescent="0.2">
      <c r="C27" s="40"/>
    </row>
    <row r="28" spans="1:7" x14ac:dyDescent="0.2">
      <c r="C28" s="40"/>
    </row>
  </sheetData>
  <sortState ref="A8:E18">
    <sortCondition descending="1" ref="D8:D18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2015 Race Points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21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0" x14ac:dyDescent="0.2">
      <c r="A1" s="29" t="s">
        <v>10</v>
      </c>
      <c r="B1" s="30"/>
      <c r="C1" s="31"/>
      <c r="D1" s="31"/>
      <c r="E1" s="31"/>
      <c r="F1" s="31"/>
      <c r="G1" s="32"/>
    </row>
    <row r="2" spans="1:10" x14ac:dyDescent="0.2">
      <c r="A2" s="33" t="s">
        <v>11</v>
      </c>
      <c r="B2" s="34"/>
      <c r="C2" s="35"/>
      <c r="D2" s="35"/>
      <c r="E2" s="35"/>
      <c r="F2" s="35"/>
      <c r="G2" s="36"/>
    </row>
    <row r="3" spans="1:10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10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0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2.1808692904654276E-2</v>
      </c>
      <c r="G5" s="36"/>
    </row>
    <row r="6" spans="1:10" x14ac:dyDescent="0.2">
      <c r="A6" s="38" t="s">
        <v>15</v>
      </c>
      <c r="B6" s="28"/>
      <c r="C6" s="28"/>
      <c r="D6" s="28"/>
      <c r="E6" s="28"/>
      <c r="F6" s="28"/>
      <c r="G6" s="39"/>
    </row>
    <row r="7" spans="1:10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0" x14ac:dyDescent="0.2">
      <c r="A8" s="4">
        <v>1</v>
      </c>
      <c r="B8" s="5" t="s">
        <v>58</v>
      </c>
      <c r="C8" s="40">
        <v>2.0847800925925919E-2</v>
      </c>
      <c r="D8" s="6">
        <f>INDEX('Points Summary'!$F$4:$F$672,G8)</f>
        <v>99.28871437032133</v>
      </c>
      <c r="E8" s="41">
        <f t="shared" ref="E8:E17" si="0">(AVERAGE($D$8:$D$10)/100*AVERAGE($C$8:$C$10))/C8</f>
        <v>1.0460908074737711</v>
      </c>
      <c r="F8" s="5"/>
      <c r="G8" s="4">
        <f>MATCH(B8,'Points Summary'!$B$4:$B$673,0)</f>
        <v>41</v>
      </c>
    </row>
    <row r="9" spans="1:10" x14ac:dyDescent="0.2">
      <c r="A9" s="4">
        <v>4</v>
      </c>
      <c r="B9" s="5" t="s">
        <v>221</v>
      </c>
      <c r="C9" s="40">
        <v>2.3468749999999983E-2</v>
      </c>
      <c r="D9" s="6">
        <f>INDEX('Points Summary'!$F$4:$F$672,G9)</f>
        <v>97.172319392285544</v>
      </c>
      <c r="E9" s="41">
        <f t="shared" si="0"/>
        <v>0.9292652103181589</v>
      </c>
      <c r="F9" s="5"/>
      <c r="G9" s="4">
        <f>MATCH(B9,'Points Summary'!$B$4:$B$673,0)</f>
        <v>42</v>
      </c>
    </row>
    <row r="10" spans="1:10" x14ac:dyDescent="0.2">
      <c r="A10" s="4">
        <v>2</v>
      </c>
      <c r="B10" s="5" t="s">
        <v>249</v>
      </c>
      <c r="C10" s="40">
        <v>2.3208680555555528E-2</v>
      </c>
      <c r="D10" s="6">
        <f>INDEX('Points Summary'!$F$4:$F$672,G10)</f>
        <v>94.212884468561555</v>
      </c>
      <c r="E10" s="41">
        <f t="shared" si="0"/>
        <v>0.93967827479248356</v>
      </c>
      <c r="F10" s="5"/>
      <c r="G10" s="4">
        <f>MATCH(B10,'Points Summary'!$B$4:$B$673,0)</f>
        <v>106</v>
      </c>
    </row>
    <row r="11" spans="1:10" x14ac:dyDescent="0.2">
      <c r="A11" s="4">
        <v>3</v>
      </c>
      <c r="B11" s="5" t="s">
        <v>216</v>
      </c>
      <c r="C11" s="40">
        <v>2.2687847222222224E-2</v>
      </c>
      <c r="D11" s="6">
        <f>INDEX('Points Summary'!$F$4:$F$672,G11)</f>
        <v>93.181593215393349</v>
      </c>
      <c r="E11" s="41">
        <f t="shared" si="0"/>
        <v>0.961249989522724</v>
      </c>
      <c r="F11" s="5"/>
      <c r="G11" s="4">
        <f>MATCH(B11,'Points Summary'!$B$4:$B$673,0)</f>
        <v>101</v>
      </c>
      <c r="J11" s="163"/>
    </row>
    <row r="12" spans="1:10" x14ac:dyDescent="0.2">
      <c r="A12" s="4">
        <v>5</v>
      </c>
      <c r="B12" s="5" t="s">
        <v>247</v>
      </c>
      <c r="C12" s="40">
        <v>2.3218634259259296E-2</v>
      </c>
      <c r="D12" s="6">
        <f>INDEX('Points Summary'!$F$4:$F$672,G12)</f>
        <v>94.570492340017523</v>
      </c>
      <c r="E12" s="41">
        <f t="shared" si="0"/>
        <v>0.93927543976697281</v>
      </c>
      <c r="F12" s="5"/>
      <c r="G12" s="4">
        <f>MATCH(B12,'Points Summary'!$B$4:$B$673,0)</f>
        <v>40</v>
      </c>
    </row>
    <row r="13" spans="1:10" x14ac:dyDescent="0.2">
      <c r="A13" s="4">
        <v>7</v>
      </c>
      <c r="B13" s="208" t="s">
        <v>231</v>
      </c>
      <c r="C13" s="40">
        <v>2.5426388888888929E-2</v>
      </c>
      <c r="D13" s="6">
        <f>INDEX('Points Summary'!$F$4:$F$672,G13)</f>
        <v>85.325968996449333</v>
      </c>
      <c r="E13" s="41">
        <f t="shared" si="0"/>
        <v>0.85771884477801141</v>
      </c>
      <c r="F13" s="5"/>
      <c r="G13" s="4">
        <f>MATCH(B13,'Points Summary'!$B$4:$B$673,0)</f>
        <v>43</v>
      </c>
    </row>
    <row r="14" spans="1:10" x14ac:dyDescent="0.2">
      <c r="A14" s="4">
        <v>8</v>
      </c>
      <c r="B14" s="5" t="s">
        <v>259</v>
      </c>
      <c r="C14" s="40">
        <v>2.5676967592592581E-2</v>
      </c>
      <c r="D14" s="6">
        <f>INDEX('Points Summary'!$F$4:$F$672,G14)</f>
        <v>85.59089880914452</v>
      </c>
      <c r="E14" s="41">
        <f t="shared" si="0"/>
        <v>0.84934846087299487</v>
      </c>
      <c r="F14" s="5"/>
      <c r="G14" s="4">
        <f>MATCH(B14,'Points Summary'!$B$4:$B$673,0)</f>
        <v>57</v>
      </c>
    </row>
    <row r="15" spans="1:10" x14ac:dyDescent="0.2">
      <c r="A15" s="4">
        <v>6</v>
      </c>
      <c r="B15" s="5" t="s">
        <v>215</v>
      </c>
      <c r="C15" s="40">
        <v>2.4751041666666695E-2</v>
      </c>
      <c r="D15" s="6">
        <f>INDEX('Points Summary'!$F$4:$F$672,G15)</f>
        <v>87.292937793180371</v>
      </c>
      <c r="E15" s="41">
        <f t="shared" si="0"/>
        <v>0.88112222501023019</v>
      </c>
      <c r="F15" s="5"/>
      <c r="G15" s="4">
        <f>MATCH(B15,'Points Summary'!$B$4:$B$673,0)</f>
        <v>38</v>
      </c>
    </row>
    <row r="16" spans="1:10" x14ac:dyDescent="0.2">
      <c r="A16" s="4">
        <v>1</v>
      </c>
      <c r="B16" s="5" t="s">
        <v>222</v>
      </c>
      <c r="C16" s="40">
        <v>2.7982986111111163E-2</v>
      </c>
      <c r="D16" s="6">
        <f>INDEX('Points Summary'!$F$4:$F$672,G16)</f>
        <v>75.440297331598515</v>
      </c>
      <c r="E16" s="41">
        <f t="shared" si="0"/>
        <v>0.77935545613535251</v>
      </c>
      <c r="F16" s="5"/>
      <c r="G16" s="4">
        <f>MATCH(B16,'Points Summary'!$B$4:$B$673,0)</f>
        <v>121</v>
      </c>
    </row>
    <row r="17" spans="1:7" x14ac:dyDescent="0.2">
      <c r="A17" s="4">
        <v>9</v>
      </c>
      <c r="B17" s="5" t="s">
        <v>62</v>
      </c>
      <c r="C17" s="40">
        <v>3.1690972222222169E-2</v>
      </c>
      <c r="D17" s="6">
        <f>INDEX('Points Summary'!$F$4:$F$672,G17)</f>
        <v>68.83916201810105</v>
      </c>
      <c r="E17" s="41">
        <f t="shared" si="0"/>
        <v>0.68816736677335844</v>
      </c>
      <c r="F17" s="5"/>
      <c r="G17" s="4">
        <f>MATCH(B17,'Points Summary'!$B$4:$B$673,0)</f>
        <v>70</v>
      </c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</sheetData>
  <sortState ref="A8:G17">
    <sortCondition descending="1" ref="D8:D17"/>
  </sortState>
  <printOptions horizontalCentered="1"/>
  <pageMargins left="0.7" right="0.7" top="0.75" bottom="0.75" header="0.3" footer="0.3"/>
  <pageSetup orientation="portrait" horizontalDpi="1200" verticalDpi="1200" r:id="rId1"/>
  <headerFooter>
    <oddHeader>&amp;L&amp;"Tahoma,Bold"&amp;11U.S. Biathlon Association&amp;R&amp;"Tahoma,Bold"&amp;11 2015 Race Points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2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AVERAGE(C8:C9)*(AVERAGE(D8:D9)/100)</f>
        <v>1.6016854561562474E-2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228</v>
      </c>
      <c r="C8" s="60">
        <v>1.8772916666666639E-2</v>
      </c>
      <c r="D8" s="6">
        <f>INDEX('Points Summary'!$F$4:$F$672,G8)</f>
        <v>92.503545392490921</v>
      </c>
      <c r="E8" s="67">
        <f t="shared" ref="E8:E22" si="0">(AVERAGE($D$8:$D$9)/100*AVERAGE($C$8:$C$9))/C8</f>
        <v>0.85318945617023623</v>
      </c>
      <c r="F8" s="5"/>
      <c r="G8" s="4">
        <f>MATCH(B8,'Points Summary'!$B$4:$B$673,0)</f>
        <v>81</v>
      </c>
    </row>
    <row r="9" spans="1:7" x14ac:dyDescent="0.2">
      <c r="A9" s="4">
        <v>2</v>
      </c>
      <c r="B9" s="5" t="s">
        <v>242</v>
      </c>
      <c r="C9" s="60">
        <v>2.0425694444444475E-2</v>
      </c>
      <c r="D9" s="6">
        <f>INDEX('Points Summary'!$F$4:$F$672,G9)</f>
        <v>70.939536977561588</v>
      </c>
      <c r="E9" s="67">
        <f t="shared" si="0"/>
        <v>0.78415226493897006</v>
      </c>
      <c r="F9" s="5"/>
      <c r="G9" s="4">
        <f>MATCH(B9,'Points Summary'!$B$4:$B$673,0)</f>
        <v>54</v>
      </c>
    </row>
    <row r="10" spans="1:7" x14ac:dyDescent="0.2">
      <c r="A10" s="4">
        <v>5</v>
      </c>
      <c r="B10" s="42" t="s">
        <v>297</v>
      </c>
      <c r="C10" s="60">
        <v>2.0614120370370359E-2</v>
      </c>
      <c r="D10" s="6" t="e">
        <f>INDEX('Points Summary'!$F$4:$F$672,G10)</f>
        <v>#N/A</v>
      </c>
      <c r="E10" s="67">
        <f t="shared" si="0"/>
        <v>0.77698462383019018</v>
      </c>
      <c r="F10" s="5"/>
      <c r="G10" s="4" t="e">
        <f>MATCH(B10,'Points Summary'!$B$4:$B$673,0)</f>
        <v>#N/A</v>
      </c>
    </row>
    <row r="11" spans="1:7" x14ac:dyDescent="0.2">
      <c r="A11" s="4">
        <v>3</v>
      </c>
      <c r="B11" s="5" t="s">
        <v>245</v>
      </c>
      <c r="C11" s="60">
        <v>2.0602430555555551E-2</v>
      </c>
      <c r="D11" s="6">
        <f>INDEX('Points Summary'!$F$4:$F$672,G11)</f>
        <v>74.046015962152183</v>
      </c>
      <c r="E11" s="67">
        <f t="shared" si="0"/>
        <v>0.77742548474424766</v>
      </c>
      <c r="F11" s="5"/>
      <c r="G11" s="4">
        <f>MATCH(B11,'Points Summary'!$B$4:$B$673,0)</f>
        <v>142</v>
      </c>
    </row>
    <row r="12" spans="1:7" x14ac:dyDescent="0.2">
      <c r="A12" s="4">
        <v>7</v>
      </c>
      <c r="B12" s="5" t="s">
        <v>252</v>
      </c>
      <c r="C12" s="60">
        <v>2.2799421296296307E-2</v>
      </c>
      <c r="D12" s="6">
        <f>INDEX('Points Summary'!$F$4:$F$672,G12)</f>
        <v>67.727863216770146</v>
      </c>
      <c r="E12" s="67">
        <f t="shared" si="0"/>
        <v>0.70251145208516153</v>
      </c>
      <c r="F12" s="5"/>
      <c r="G12" s="4">
        <f>MATCH(B12,'Points Summary'!$B$4:$B$673,0)</f>
        <v>147</v>
      </c>
    </row>
    <row r="13" spans="1:7" x14ac:dyDescent="0.2">
      <c r="A13" s="4">
        <v>4</v>
      </c>
      <c r="B13" t="s">
        <v>251</v>
      </c>
      <c r="C13" s="60">
        <v>2.1004976851851875E-2</v>
      </c>
      <c r="D13" s="6">
        <f>INDEX('Points Summary'!$F$4:$F$672,G13)</f>
        <v>69.575196820506108</v>
      </c>
      <c r="E13" s="67">
        <f t="shared" si="0"/>
        <v>0.7625266466385261</v>
      </c>
      <c r="F13" s="5"/>
      <c r="G13" s="4">
        <f>MATCH(B13,'Points Summary'!$B$4:$B$673,0)</f>
        <v>125</v>
      </c>
    </row>
    <row r="14" spans="1:7" x14ac:dyDescent="0.2">
      <c r="A14" s="4">
        <v>6</v>
      </c>
      <c r="B14" s="5" t="s">
        <v>253</v>
      </c>
      <c r="C14" s="60">
        <v>2.170763888888888E-2</v>
      </c>
      <c r="D14" s="6">
        <f>INDEX('Points Summary'!$F$4:$F$672,G14)</f>
        <v>68.776933489945691</v>
      </c>
      <c r="E14" s="67">
        <f t="shared" si="0"/>
        <v>0.73784415907898437</v>
      </c>
      <c r="F14" s="5"/>
      <c r="G14" s="4">
        <f>MATCH(B14,'Points Summary'!$B$4:$B$673,0)</f>
        <v>10</v>
      </c>
    </row>
    <row r="15" spans="1:7" x14ac:dyDescent="0.2">
      <c r="A15" s="4">
        <v>8</v>
      </c>
      <c r="B15" t="s">
        <v>244</v>
      </c>
      <c r="C15" s="60">
        <v>2.5134490740740756E-2</v>
      </c>
      <c r="D15" s="6">
        <f>INDEX('Points Summary'!$F$4:$F$672,G15)</f>
        <v>62.98028669114376</v>
      </c>
      <c r="E15" s="67">
        <f t="shared" si="0"/>
        <v>0.63724603481225861</v>
      </c>
      <c r="F15" s="5"/>
      <c r="G15" s="4">
        <f>MATCH(B15,'Points Summary'!$B$4:$B$673,0)</f>
        <v>93</v>
      </c>
    </row>
    <row r="16" spans="1:7" x14ac:dyDescent="0.2">
      <c r="A16" s="4">
        <v>2</v>
      </c>
      <c r="B16" s="5" t="s">
        <v>232</v>
      </c>
      <c r="C16" s="60">
        <v>2.7564699074074051E-2</v>
      </c>
      <c r="D16" s="6">
        <f>INDEX('Points Summary'!$F$4:$F$672,G16)</f>
        <v>53.320357367520515</v>
      </c>
      <c r="E16" s="67">
        <f t="shared" si="0"/>
        <v>0.58106400938826541</v>
      </c>
      <c r="F16" s="5"/>
      <c r="G16" s="4">
        <f>MATCH(B16,'Points Summary'!$B$4:$B$673,0)</f>
        <v>133</v>
      </c>
    </row>
    <row r="17" spans="1:7" x14ac:dyDescent="0.2">
      <c r="A17" s="4">
        <v>1</v>
      </c>
      <c r="B17" s="5" t="s">
        <v>257</v>
      </c>
      <c r="C17" s="60">
        <v>2.7698842592592587E-2</v>
      </c>
      <c r="D17" s="6">
        <f>INDEX('Points Summary'!$F$4:$F$672,G17)</f>
        <v>51.715521055637709</v>
      </c>
      <c r="E17" s="67">
        <f t="shared" si="0"/>
        <v>0.57824995784646283</v>
      </c>
      <c r="F17" s="5"/>
      <c r="G17" s="4">
        <f>MATCH(B17,'Points Summary'!$B$4:$B$673,0)</f>
        <v>13</v>
      </c>
    </row>
    <row r="18" spans="1:7" x14ac:dyDescent="0.2">
      <c r="A18" s="4">
        <v>1</v>
      </c>
      <c r="B18" s="5" t="s">
        <v>55</v>
      </c>
      <c r="C18" s="60">
        <v>2.1602430555555496E-2</v>
      </c>
      <c r="D18" s="6" t="e">
        <f>INDEX('Points Summary'!$F$4:$F$672,G18)</f>
        <v>#N/A</v>
      </c>
      <c r="E18" s="67">
        <f t="shared" si="0"/>
        <v>0.74143761371534278</v>
      </c>
      <c r="F18" s="5"/>
      <c r="G18" s="4" t="e">
        <f>MATCH(B18,'Points Summary'!$B$4:$B$673,0)</f>
        <v>#N/A</v>
      </c>
    </row>
    <row r="19" spans="1:7" x14ac:dyDescent="0.2">
      <c r="A19" s="4">
        <v>2</v>
      </c>
      <c r="B19" s="42" t="s">
        <v>289</v>
      </c>
      <c r="C19" s="60">
        <v>2.5696180555555559E-2</v>
      </c>
      <c r="D19" s="6">
        <f>INDEX('Points Summary'!$F$4:$F$672,G19)</f>
        <v>52.076525659277756</v>
      </c>
      <c r="E19" s="67">
        <f t="shared" si="0"/>
        <v>0.62331654803459113</v>
      </c>
      <c r="F19" s="5"/>
      <c r="G19" s="4">
        <f>MATCH(B19,'Points Summary'!$B$4:$B$673,0)</f>
        <v>11</v>
      </c>
    </row>
    <row r="20" spans="1:7" x14ac:dyDescent="0.2">
      <c r="A20" s="4">
        <v>4</v>
      </c>
      <c r="B20" s="42" t="s">
        <v>310</v>
      </c>
      <c r="C20" s="60">
        <v>2.7903356481481456E-2</v>
      </c>
      <c r="D20" s="6">
        <f>INDEX('Points Summary'!$F$4:$F$672,G20)</f>
        <v>53.048121598438328</v>
      </c>
      <c r="E20" s="67">
        <f t="shared" si="0"/>
        <v>0.57401175275068916</v>
      </c>
      <c r="F20" s="5"/>
      <c r="G20" s="4">
        <f>MATCH(B20,'Points Summary'!$B$4:$B$673,0)</f>
        <v>4</v>
      </c>
    </row>
    <row r="21" spans="1:7" x14ac:dyDescent="0.2">
      <c r="A21" s="4">
        <v>5</v>
      </c>
      <c r="B21" s="5" t="s">
        <v>311</v>
      </c>
      <c r="C21" s="60">
        <v>3.3263888888888871E-2</v>
      </c>
      <c r="D21" s="6">
        <f>INDEX('Points Summary'!$F$4:$F$672,G21)</f>
        <v>55.890232926742982</v>
      </c>
      <c r="E21" s="67">
        <f t="shared" si="0"/>
        <v>0.48150878013883036</v>
      </c>
      <c r="F21" s="5"/>
      <c r="G21" s="4">
        <f>MATCH(B21,'Points Summary'!$B$4:$B$673,0)</f>
        <v>63</v>
      </c>
    </row>
    <row r="22" spans="1:7" x14ac:dyDescent="0.2">
      <c r="A22" s="4">
        <v>1</v>
      </c>
      <c r="B22" s="5" t="s">
        <v>312</v>
      </c>
      <c r="C22" s="60">
        <v>2.7136226851851852E-2</v>
      </c>
      <c r="D22" s="6">
        <f>INDEX('Points Summary'!$F$4:$F$672,G22)</f>
        <v>52.452932111557999</v>
      </c>
      <c r="E22" s="67">
        <f t="shared" si="0"/>
        <v>0.59023882166836461</v>
      </c>
      <c r="F22" s="5"/>
      <c r="G22" s="4">
        <f>MATCH(B22,'Points Summary'!$B$4:$B$673,0)</f>
        <v>66</v>
      </c>
    </row>
  </sheetData>
  <sortState ref="A8:G22">
    <sortCondition descending="1" ref="D8:D22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20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>
        <f>AVERAGE(C8:C10)*(AVERAGE(D8:D10)/100)</f>
        <v>2.5102025407741022E-2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58</v>
      </c>
      <c r="C8" s="40">
        <v>2.5386574074074072E-2</v>
      </c>
      <c r="D8" s="6">
        <f>INDEX('Points Summary'!$F$4:$F$672,G8)</f>
        <v>99.28871437032133</v>
      </c>
      <c r="E8" s="41">
        <f>(AVERAGE($D$8:$D$10)/100*AVERAGE($C$8:$C$10))/C8</f>
        <v>0.98879137194712519</v>
      </c>
      <c r="F8" s="5"/>
      <c r="G8" s="4">
        <f>MATCH(B8,'Points Summary'!$B$4:$B$673,0)</f>
        <v>41</v>
      </c>
    </row>
    <row r="9" spans="1:7" x14ac:dyDescent="0.2">
      <c r="A9" s="4">
        <v>2</v>
      </c>
      <c r="B9" s="5" t="s">
        <v>221</v>
      </c>
      <c r="C9" s="40">
        <v>2.5475694444444447E-2</v>
      </c>
      <c r="D9" s="6">
        <f>INDEX('Points Summary'!$F$4:$F$672,G9)</f>
        <v>97.172319392285544</v>
      </c>
      <c r="E9" s="41">
        <f>(AVERAGE($D$8:$D$10)/100*AVERAGE($C$8:$C$10))/C9</f>
        <v>0.98533233166545098</v>
      </c>
      <c r="F9" s="5"/>
      <c r="G9" s="4">
        <f>MATCH(B9,'Points Summary'!$B$4:$B$673,0)</f>
        <v>42</v>
      </c>
    </row>
    <row r="10" spans="1:7" x14ac:dyDescent="0.2">
      <c r="A10" s="4">
        <v>4</v>
      </c>
      <c r="B10" s="5" t="s">
        <v>249</v>
      </c>
      <c r="C10" s="40">
        <v>2.6859953703703702E-2</v>
      </c>
      <c r="D10" s="6">
        <f>INDEX('Points Summary'!$F$4:$F$672,G10)</f>
        <v>94.212884468561555</v>
      </c>
      <c r="E10" s="41">
        <f>(AVERAGE($D$8:$D$10)/100*AVERAGE($C$8:$C$10))/C10</f>
        <v>0.9345520727490948</v>
      </c>
      <c r="F10" s="5"/>
      <c r="G10" s="4">
        <f>MATCH(B10,'Points Summary'!$B$4:$B$673,0)</f>
        <v>106</v>
      </c>
    </row>
    <row r="11" spans="1:7" x14ac:dyDescent="0.2">
      <c r="A11" s="4">
        <v>5</v>
      </c>
      <c r="B11" s="5" t="s">
        <v>216</v>
      </c>
      <c r="C11" s="40">
        <v>2.7325231481481485E-2</v>
      </c>
      <c r="D11" s="6">
        <f>INDEX('Points Summary'!$F$4:$F$672,G11)</f>
        <v>93.181593215393349</v>
      </c>
      <c r="E11" s="41">
        <f>(AVERAGE($D$8:$D$10)/100*AVERAGE($C$8:$C$10))/C11</f>
        <v>0.91863907629667663</v>
      </c>
      <c r="F11" s="5"/>
      <c r="G11" s="4">
        <f>MATCH(B11,'Points Summary'!$B$4:$B$673,0)</f>
        <v>101</v>
      </c>
    </row>
    <row r="12" spans="1:7" x14ac:dyDescent="0.2">
      <c r="A12" s="4">
        <v>3</v>
      </c>
      <c r="B12" s="5" t="s">
        <v>247</v>
      </c>
      <c r="C12" s="40">
        <v>2.631944444444444E-2</v>
      </c>
      <c r="D12" s="6">
        <f>INDEX('Points Summary'!$F$4:$F$672,G12)</f>
        <v>94.570492340017523</v>
      </c>
      <c r="E12" s="41">
        <f t="shared" ref="E12:E15" si="0">(AVERAGE($D$8:$D$10)/100*AVERAGE($C$8:$C$10))/C12</f>
        <v>0.95374450098013397</v>
      </c>
      <c r="F12" s="5"/>
      <c r="G12" s="4">
        <f>MATCH(B12,'Points Summary'!$B$4:$B$673,0)</f>
        <v>40</v>
      </c>
    </row>
    <row r="13" spans="1:7" x14ac:dyDescent="0.2">
      <c r="A13" s="4">
        <v>8</v>
      </c>
      <c r="B13" s="208" t="s">
        <v>231</v>
      </c>
      <c r="C13" s="40">
        <v>2.8026620370370372E-2</v>
      </c>
      <c r="D13" s="6">
        <f>INDEX('Points Summary'!$F$4:$F$672,G13)</f>
        <v>85.325968996449333</v>
      </c>
      <c r="E13" s="41">
        <f t="shared" si="0"/>
        <v>0.89564938890308654</v>
      </c>
      <c r="F13" s="5"/>
      <c r="G13" s="4">
        <f>MATCH(B13,'Points Summary'!$B$4:$B$673,0)</f>
        <v>43</v>
      </c>
    </row>
    <row r="14" spans="1:7" x14ac:dyDescent="0.2">
      <c r="A14" s="4">
        <v>6</v>
      </c>
      <c r="B14" s="5" t="s">
        <v>259</v>
      </c>
      <c r="C14" s="40">
        <v>2.7591435185185188E-2</v>
      </c>
      <c r="D14" s="6">
        <f>INDEX('Points Summary'!$F$4:$F$672,G14)</f>
        <v>85.59089880914452</v>
      </c>
      <c r="E14" s="41">
        <f t="shared" si="0"/>
        <v>0.90977599531390752</v>
      </c>
      <c r="F14" s="5"/>
      <c r="G14" s="4">
        <f>MATCH(B14,'Points Summary'!$B$4:$B$673,0)</f>
        <v>57</v>
      </c>
    </row>
    <row r="15" spans="1:7" x14ac:dyDescent="0.2">
      <c r="A15" s="4">
        <v>7</v>
      </c>
      <c r="B15" s="5" t="s">
        <v>215</v>
      </c>
      <c r="C15" s="40">
        <v>2.7859953703703703E-2</v>
      </c>
      <c r="D15" s="6">
        <f>INDEX('Points Summary'!$F$4:$F$672,G15)</f>
        <v>87.292937793180371</v>
      </c>
      <c r="E15" s="41">
        <f t="shared" si="0"/>
        <v>0.90100743435205199</v>
      </c>
      <c r="F15" s="5"/>
      <c r="G15" s="4">
        <f>MATCH(B15,'Points Summary'!$B$4:$B$673,0)</f>
        <v>38</v>
      </c>
    </row>
    <row r="16" spans="1:7" x14ac:dyDescent="0.2">
      <c r="A16" s="4">
        <v>9</v>
      </c>
      <c r="B16" s="5" t="s">
        <v>222</v>
      </c>
      <c r="C16" s="40">
        <v>3.0484953703703702E-2</v>
      </c>
      <c r="D16" s="6">
        <f>INDEX('Points Summary'!$F$4:$F$672,G16)</f>
        <v>75.440297331598515</v>
      </c>
      <c r="E16" s="41">
        <f t="shared" ref="E16:E17" si="1">(AVERAGE($D$8:$D$10)/100*AVERAGE($C$8:$C$10))/C16</f>
        <v>0.82342343871400747</v>
      </c>
      <c r="F16" s="5"/>
      <c r="G16" s="4">
        <f>MATCH(B16,'Points Summary'!$B$4:$B$673,0)</f>
        <v>121</v>
      </c>
    </row>
    <row r="17" spans="1:7" x14ac:dyDescent="0.2">
      <c r="A17" s="4">
        <v>10</v>
      </c>
      <c r="B17" s="5" t="s">
        <v>62</v>
      </c>
      <c r="C17" s="40">
        <v>3.7694444444444447E-2</v>
      </c>
      <c r="D17" s="6">
        <f>INDEX('Points Summary'!$F$4:$F$672,G17)</f>
        <v>68.83916201810105</v>
      </c>
      <c r="E17" s="41">
        <f t="shared" si="1"/>
        <v>0.66593435127389589</v>
      </c>
      <c r="F17" s="5"/>
      <c r="G17" s="4">
        <f>MATCH(B17,'Points Summary'!$B$4:$B$673,0)</f>
        <v>70</v>
      </c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B19" s="5"/>
    </row>
    <row r="20" spans="1:7" x14ac:dyDescent="0.2">
      <c r="B20" s="5"/>
    </row>
  </sheetData>
  <sortState ref="A8:D15">
    <sortCondition descending="1" ref="D8:D15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19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46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3</v>
      </c>
      <c r="B8" s="5" t="s">
        <v>242</v>
      </c>
      <c r="C8" s="40">
        <v>1.9755787037037037E-2</v>
      </c>
      <c r="D8" s="6">
        <f>INDEX('Points Summary'!$F$4:$F$672,G8)</f>
        <v>70.939536977561588</v>
      </c>
      <c r="E8" s="41" t="e">
        <f t="shared" ref="E8:E19" si="0">(AVERAGE($D$8:$D$10)/100*AVERAGE($C$8:$C$10))/C8</f>
        <v>#N/A</v>
      </c>
      <c r="F8" s="5"/>
      <c r="G8" s="4">
        <f>MATCH(B8,'Points Summary'!$B$4:$B$673,0)</f>
        <v>54</v>
      </c>
    </row>
    <row r="9" spans="1:7" x14ac:dyDescent="0.2">
      <c r="A9" s="4">
        <v>2</v>
      </c>
      <c r="B9" s="5" t="s">
        <v>297</v>
      </c>
      <c r="C9" s="40">
        <v>1.9685185185185184E-2</v>
      </c>
      <c r="D9" s="6" t="e">
        <f>INDEX('Points Summary'!$F$4:$F$672,G9)</f>
        <v>#N/A</v>
      </c>
      <c r="E9" s="41" t="e">
        <f t="shared" si="0"/>
        <v>#N/A</v>
      </c>
      <c r="F9" s="5"/>
      <c r="G9" s="4" t="e">
        <f>MATCH(B9,'Points Summary'!$B$4:$B$673,0)</f>
        <v>#N/A</v>
      </c>
    </row>
    <row r="10" spans="1:7" x14ac:dyDescent="0.2">
      <c r="A10" s="4">
        <v>4</v>
      </c>
      <c r="B10" s="5" t="s">
        <v>245</v>
      </c>
      <c r="C10" s="40">
        <v>1.9853009259259261E-2</v>
      </c>
      <c r="D10" s="6">
        <f>INDEX('Points Summary'!$F$4:$F$672,G10)</f>
        <v>74.046015962152183</v>
      </c>
      <c r="E10" s="41" t="e">
        <f t="shared" si="0"/>
        <v>#N/A</v>
      </c>
      <c r="F10" s="5"/>
      <c r="G10" s="4">
        <f>MATCH(B10,'Points Summary'!$B$4:$B$673,0)</f>
        <v>142</v>
      </c>
    </row>
    <row r="11" spans="1:7" x14ac:dyDescent="0.2">
      <c r="A11" s="4">
        <v>1</v>
      </c>
      <c r="B11" s="42" t="s">
        <v>252</v>
      </c>
      <c r="C11" s="40">
        <v>1.9581018518518518E-2</v>
      </c>
      <c r="D11" s="6">
        <f>INDEX('Points Summary'!$F$4:$F$672,G11)</f>
        <v>67.727863216770146</v>
      </c>
      <c r="E11" s="41" t="e">
        <f t="shared" si="0"/>
        <v>#N/A</v>
      </c>
      <c r="F11" s="5"/>
      <c r="G11" s="4">
        <f>MATCH(B11,'Points Summary'!$B$4:$B$673,0)</f>
        <v>147</v>
      </c>
    </row>
    <row r="12" spans="1:7" x14ac:dyDescent="0.2">
      <c r="A12" s="4">
        <v>5</v>
      </c>
      <c r="B12" s="5" t="s">
        <v>251</v>
      </c>
      <c r="C12" s="40">
        <v>2.1445601851851851E-2</v>
      </c>
      <c r="D12" s="6">
        <f>INDEX('Points Summary'!$F$4:$F$672,G12)</f>
        <v>69.575196820506108</v>
      </c>
      <c r="E12" s="41" t="e">
        <f t="shared" si="0"/>
        <v>#N/A</v>
      </c>
      <c r="F12" s="5"/>
      <c r="G12" s="4">
        <f>MATCH(B12,'Points Summary'!$B$4:$B$673,0)</f>
        <v>125</v>
      </c>
    </row>
    <row r="13" spans="1:7" x14ac:dyDescent="0.2">
      <c r="A13" s="4">
        <v>7</v>
      </c>
      <c r="B13" s="42" t="s">
        <v>253</v>
      </c>
      <c r="C13" s="40">
        <v>2.3848379629629629E-2</v>
      </c>
      <c r="D13" s="6">
        <f>INDEX('Points Summary'!$F$4:$F$672,G13)</f>
        <v>68.776933489945691</v>
      </c>
      <c r="E13" s="41" t="e">
        <f t="shared" si="0"/>
        <v>#N/A</v>
      </c>
      <c r="F13" s="5"/>
      <c r="G13" s="4">
        <f>MATCH(B13,'Points Summary'!$B$4:$B$673,0)</f>
        <v>10</v>
      </c>
    </row>
    <row r="14" spans="1:7" x14ac:dyDescent="0.2">
      <c r="A14" s="4">
        <v>6</v>
      </c>
      <c r="B14" s="5" t="s">
        <v>244</v>
      </c>
      <c r="C14" s="40">
        <v>2.1534722222222222E-2</v>
      </c>
      <c r="D14" s="6">
        <f>INDEX('Points Summary'!$F$4:$F$672,G14)</f>
        <v>62.98028669114376</v>
      </c>
      <c r="E14" s="41" t="e">
        <f t="shared" si="0"/>
        <v>#N/A</v>
      </c>
      <c r="F14" s="5"/>
      <c r="G14" s="4">
        <f>MATCH(B14,'Points Summary'!$B$4:$B$673,0)</f>
        <v>93</v>
      </c>
    </row>
    <row r="15" spans="1:7" x14ac:dyDescent="0.2">
      <c r="A15" s="4">
        <v>1</v>
      </c>
      <c r="B15" s="5" t="s">
        <v>257</v>
      </c>
      <c r="C15" s="40">
        <v>2.7728009259259261E-2</v>
      </c>
      <c r="D15" s="6">
        <f>INDEX('Points Summary'!$F$4:$F$672,G15)</f>
        <v>51.715521055637709</v>
      </c>
      <c r="E15" s="41" t="e">
        <f t="shared" si="0"/>
        <v>#N/A</v>
      </c>
      <c r="F15" s="5"/>
      <c r="G15" s="4">
        <f>MATCH(B15,'Points Summary'!$B$4:$B$673,0)</f>
        <v>13</v>
      </c>
    </row>
    <row r="16" spans="1:7" x14ac:dyDescent="0.2">
      <c r="A16" s="4">
        <v>3</v>
      </c>
      <c r="B16" s="5" t="s">
        <v>289</v>
      </c>
      <c r="C16" s="40">
        <v>2.9633101851851851E-2</v>
      </c>
      <c r="D16" s="6">
        <f>INDEX('Points Summary'!$F$4:$F$672,G16)</f>
        <v>52.076525659277756</v>
      </c>
      <c r="E16" s="41" t="e">
        <f t="shared" si="0"/>
        <v>#N/A</v>
      </c>
      <c r="F16" s="5"/>
      <c r="G16" s="4">
        <f>MATCH(B16,'Points Summary'!$B$4:$B$673,0)</f>
        <v>11</v>
      </c>
    </row>
    <row r="17" spans="1:7" x14ac:dyDescent="0.2">
      <c r="A17" s="4">
        <v>1</v>
      </c>
      <c r="B17" t="s">
        <v>310</v>
      </c>
      <c r="C17" s="40">
        <v>2.6251157407407411E-2</v>
      </c>
      <c r="D17" s="6">
        <f>INDEX('Points Summary'!$F$4:$F$672,G17)</f>
        <v>53.048121598438328</v>
      </c>
      <c r="E17" s="41" t="e">
        <f t="shared" si="0"/>
        <v>#N/A</v>
      </c>
      <c r="F17" s="5"/>
      <c r="G17" s="4">
        <f>MATCH(B17,'Points Summary'!$B$4:$B$673,0)</f>
        <v>4</v>
      </c>
    </row>
    <row r="18" spans="1:7" x14ac:dyDescent="0.2">
      <c r="A18" s="4">
        <v>4</v>
      </c>
      <c r="B18" t="s">
        <v>311</v>
      </c>
      <c r="C18" s="40">
        <v>3.0685185185185187E-2</v>
      </c>
      <c r="D18" s="6">
        <f>INDEX('Points Summary'!$F$4:$F$672,G18)</f>
        <v>55.890232926742982</v>
      </c>
      <c r="E18" s="41" t="e">
        <f t="shared" si="0"/>
        <v>#N/A</v>
      </c>
      <c r="F18" s="5"/>
      <c r="G18" s="4">
        <f>MATCH(B18,'Points Summary'!$B$4:$B$673,0)</f>
        <v>63</v>
      </c>
    </row>
    <row r="19" spans="1:7" x14ac:dyDescent="0.2">
      <c r="A19" s="4">
        <v>1</v>
      </c>
      <c r="B19" t="s">
        <v>312</v>
      </c>
      <c r="C19" s="40">
        <v>2.6621527777777779E-2</v>
      </c>
      <c r="D19" s="6">
        <f>INDEX('Points Summary'!$F$4:$F$672,G19)</f>
        <v>52.452932111557999</v>
      </c>
      <c r="E19" s="41" t="e">
        <f t="shared" si="0"/>
        <v>#N/A</v>
      </c>
      <c r="F19" s="5"/>
      <c r="G19" s="4">
        <f>MATCH(B19,'Points Summary'!$B$4:$B$673,0)</f>
        <v>66</v>
      </c>
    </row>
  </sheetData>
  <sortState ref="A8:G20">
    <sortCondition descending="1" ref="D8:D20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I18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/>
      <c r="C1" s="31"/>
      <c r="D1" s="31"/>
      <c r="E1" s="31"/>
      <c r="F1" s="31"/>
      <c r="G1" s="32"/>
    </row>
    <row r="2" spans="1:9" x14ac:dyDescent="0.2">
      <c r="A2" s="33" t="s">
        <v>11</v>
      </c>
      <c r="B2" s="34"/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1.3921958040372839E-2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5" t="s">
        <v>315</v>
      </c>
      <c r="C8" s="40">
        <v>2.5011574074074075E-2</v>
      </c>
      <c r="D8" s="6">
        <f>INDEX('Points Summary'!$F$4:$F$672,G8)</f>
        <v>51.598687384929619</v>
      </c>
      <c r="E8" s="41">
        <f>(AVERAGE($D$8:$D$10)/100*AVERAGE($C$8:$C$10))/C8</f>
        <v>0.55662062688024672</v>
      </c>
      <c r="F8" s="5"/>
      <c r="G8" s="4">
        <f>MATCH(B8,'Points Summary'!$B$4:$B$673,0)</f>
        <v>141</v>
      </c>
    </row>
    <row r="9" spans="1:9" x14ac:dyDescent="0.2">
      <c r="A9" s="4">
        <v>2</v>
      </c>
      <c r="B9" s="42" t="s">
        <v>83</v>
      </c>
      <c r="C9" s="40">
        <v>2.8506944444444442E-2</v>
      </c>
      <c r="D9" s="6">
        <f>INDEX('Points Summary'!$F$4:$F$672,G9)</f>
        <v>46.917507946651071</v>
      </c>
      <c r="E9" s="41">
        <f>(AVERAGE($D$8:$D$10)/100*AVERAGE($C$8:$C$10))/C9</f>
        <v>0.48837075708007038</v>
      </c>
      <c r="F9" s="5"/>
      <c r="G9" s="4">
        <f>MATCH(B9,'Points Summary'!$B$4:$B$673,0)</f>
        <v>6</v>
      </c>
    </row>
    <row r="10" spans="1:9" x14ac:dyDescent="0.2">
      <c r="A10" s="68">
        <v>3</v>
      </c>
      <c r="B10" s="5" t="s">
        <v>316</v>
      </c>
      <c r="C10" s="40">
        <v>4.0983796296296296E-2</v>
      </c>
      <c r="D10" s="6">
        <f>INDEX('Points Summary'!$F$4:$F$672,G10)</f>
        <v>34.070633476673052</v>
      </c>
      <c r="E10" s="41">
        <f>(AVERAGE($D$8:$D$10)/100*AVERAGE($C$8:$C$10))/C10</f>
        <v>0.33969420352674762</v>
      </c>
      <c r="F10" s="5"/>
      <c r="G10" s="4">
        <f>MATCH(B10,'Points Summary'!$B$4:$B$673,0)</f>
        <v>30</v>
      </c>
    </row>
    <row r="11" spans="1:9" x14ac:dyDescent="0.2">
      <c r="A11" s="4"/>
      <c r="B11" s="5"/>
      <c r="C11" s="40"/>
      <c r="D11" s="6"/>
      <c r="E11" s="41"/>
      <c r="F11" s="5"/>
      <c r="G11" s="4"/>
    </row>
    <row r="12" spans="1:9" x14ac:dyDescent="0.2">
      <c r="A12" s="4"/>
      <c r="B12" s="5"/>
      <c r="C12" s="40"/>
      <c r="D12" s="6"/>
      <c r="E12" s="41"/>
      <c r="F12" s="5"/>
      <c r="G12" s="4"/>
      <c r="I12" s="5"/>
    </row>
    <row r="13" spans="1:9" x14ac:dyDescent="0.2">
      <c r="A13" s="4"/>
      <c r="B13" s="5"/>
      <c r="C13" s="40"/>
      <c r="D13" s="6"/>
      <c r="E13" s="41"/>
      <c r="F13" s="5"/>
      <c r="G13" s="4"/>
    </row>
    <row r="14" spans="1:9" x14ac:dyDescent="0.2">
      <c r="A14" s="4"/>
      <c r="B14" s="5"/>
      <c r="C14" s="40"/>
      <c r="D14" s="6"/>
      <c r="E14" s="41"/>
      <c r="F14" s="5"/>
      <c r="G14" s="4"/>
    </row>
    <row r="15" spans="1:9" x14ac:dyDescent="0.2">
      <c r="A15" s="4"/>
      <c r="B15" s="208"/>
      <c r="C15" s="40"/>
      <c r="D15" s="6"/>
      <c r="E15" s="41"/>
      <c r="F15" s="5"/>
      <c r="G15" s="4"/>
    </row>
    <row r="16" spans="1:9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B18" s="5"/>
    </row>
  </sheetData>
  <sortState ref="A8:D17">
    <sortCondition descending="1" ref="D8:D17"/>
  </sortState>
  <printOptions horizontalCentered="1"/>
  <pageMargins left="0.7" right="0.7" top="0.75" bottom="0.75" header="0.3" footer="0.3"/>
  <pageSetup orientation="portrait" r:id="rId1"/>
  <headerFooter>
    <oddHeader>&amp;L&amp;"Tahoma,Bold"&amp;12U.S. Biathlon Association&amp;R&amp;"Tahoma,Bold"&amp;11 2017 Race Points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12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1" x14ac:dyDescent="0.2">
      <c r="A1" s="29" t="s">
        <v>10</v>
      </c>
      <c r="B1" s="30"/>
      <c r="C1" s="31"/>
      <c r="D1" s="31"/>
      <c r="E1" s="31"/>
      <c r="F1" s="31"/>
      <c r="G1" s="32"/>
    </row>
    <row r="2" spans="1:11" x14ac:dyDescent="0.2">
      <c r="A2" s="33" t="s">
        <v>11</v>
      </c>
      <c r="B2" s="34"/>
      <c r="C2" s="35"/>
      <c r="D2" s="35"/>
      <c r="E2" s="35"/>
      <c r="F2" s="35"/>
      <c r="G2" s="36"/>
    </row>
    <row r="3" spans="1:11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11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1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1.6152180611703364E-2</v>
      </c>
      <c r="G5" s="36"/>
    </row>
    <row r="6" spans="1:11" x14ac:dyDescent="0.2">
      <c r="A6" s="38" t="s">
        <v>15</v>
      </c>
      <c r="B6" s="28"/>
      <c r="C6" s="28"/>
      <c r="D6" s="28"/>
      <c r="E6" s="28"/>
      <c r="F6" s="28"/>
      <c r="G6" s="39"/>
    </row>
    <row r="7" spans="1:11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1" x14ac:dyDescent="0.2">
      <c r="A8" s="4">
        <v>1</v>
      </c>
      <c r="B8" s="5" t="s">
        <v>315</v>
      </c>
      <c r="C8" s="60">
        <v>3.1006944444444445E-2</v>
      </c>
      <c r="D8" s="6">
        <f>INDEX('Points Summary'!$F$4:$F$672,G8)</f>
        <v>51.598687384929619</v>
      </c>
      <c r="E8" s="41">
        <f>(AVERAGE($D$8:$D$10)/100*AVERAGE($C$8:$C$10))/C8</f>
        <v>0.52092139038864149</v>
      </c>
      <c r="F8" s="5"/>
      <c r="G8" s="4">
        <f>MATCH(B8,'Points Summary'!$B$4:$B$673,0)</f>
        <v>141</v>
      </c>
      <c r="I8" s="60"/>
      <c r="J8" s="60"/>
      <c r="K8" s="60"/>
    </row>
    <row r="9" spans="1:11" x14ac:dyDescent="0.2">
      <c r="A9" s="4">
        <v>2</v>
      </c>
      <c r="B9" s="5" t="s">
        <v>83</v>
      </c>
      <c r="C9" s="60">
        <v>3.4594907407407408E-2</v>
      </c>
      <c r="D9" s="6">
        <f>INDEX('Points Summary'!$E$4:$E$672,G9)</f>
        <v>44.122608681632663</v>
      </c>
      <c r="E9" s="41">
        <f t="shared" ref="E9:E10" si="0">(AVERAGE($D$8:$D$10)/100*AVERAGE($C$8:$C$10))/C9</f>
        <v>0.46689474903016748</v>
      </c>
      <c r="F9" s="5"/>
      <c r="G9" s="4">
        <f>MATCH(B9,'Points Summary'!$B$4:$B$673,0)</f>
        <v>6</v>
      </c>
      <c r="I9" s="60"/>
      <c r="J9" s="60"/>
      <c r="K9" s="60"/>
    </row>
    <row r="10" spans="1:11" x14ac:dyDescent="0.2">
      <c r="A10" s="4">
        <v>4</v>
      </c>
      <c r="B10" s="5" t="s">
        <v>316</v>
      </c>
      <c r="C10" s="60">
        <v>4.868055555555556E-2</v>
      </c>
      <c r="D10" s="6">
        <f>INDEX('Points Summary'!$E$4:$E$672,G10)</f>
        <v>31.480806867006041</v>
      </c>
      <c r="E10" s="41">
        <f t="shared" si="0"/>
        <v>0.33179943053998345</v>
      </c>
      <c r="F10" s="5"/>
      <c r="G10" s="4">
        <f>MATCH(B10,'Points Summary'!$B$4:$B$673,0)</f>
        <v>30</v>
      </c>
    </row>
    <row r="11" spans="1:11" x14ac:dyDescent="0.2">
      <c r="A11" s="4"/>
      <c r="B11" s="5"/>
      <c r="C11" s="60"/>
      <c r="D11" s="6"/>
      <c r="E11" s="41"/>
      <c r="F11" s="5"/>
      <c r="G11" s="4"/>
    </row>
    <row r="12" spans="1:11" x14ac:dyDescent="0.2">
      <c r="A12" s="4"/>
      <c r="B12" s="5"/>
      <c r="C12" s="60"/>
      <c r="D12" s="6"/>
      <c r="E12" s="41"/>
      <c r="F12" s="5"/>
      <c r="G12" s="4"/>
    </row>
  </sheetData>
  <sortState ref="A8:D12">
    <sortCondition descending="1" ref="D8:D12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workbookViewId="0">
      <selection activeCell="F11" sqref="F11"/>
    </sheetView>
  </sheetViews>
  <sheetFormatPr defaultRowHeight="12.75" x14ac:dyDescent="0.2"/>
  <cols>
    <col min="2" max="2" width="22.7109375" customWidth="1"/>
    <col min="3" max="4" width="9.7109375" customWidth="1"/>
    <col min="5" max="5" width="9.7109375" style="63" customWidth="1"/>
    <col min="6" max="7" width="9.7109375" customWidth="1"/>
  </cols>
  <sheetData>
    <row r="1" spans="1:7" x14ac:dyDescent="0.2">
      <c r="A1" s="29" t="s">
        <v>10</v>
      </c>
      <c r="B1" s="30" t="s">
        <v>341</v>
      </c>
      <c r="C1" s="31"/>
      <c r="D1" s="31"/>
      <c r="E1" s="221"/>
      <c r="F1" s="31"/>
      <c r="G1" s="32"/>
    </row>
    <row r="2" spans="1:7" x14ac:dyDescent="0.2">
      <c r="A2" s="33" t="s">
        <v>11</v>
      </c>
      <c r="B2" s="34">
        <v>43083</v>
      </c>
      <c r="C2" s="35"/>
      <c r="D2" s="35"/>
      <c r="E2" s="11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11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115"/>
      <c r="F4" s="35"/>
      <c r="G4" s="36"/>
    </row>
    <row r="5" spans="1:7" x14ac:dyDescent="0.2">
      <c r="A5" s="33" t="s">
        <v>14</v>
      </c>
      <c r="B5" s="37" t="s">
        <v>342</v>
      </c>
      <c r="C5" s="35"/>
      <c r="D5" s="35"/>
      <c r="E5" s="115" t="s">
        <v>28</v>
      </c>
      <c r="F5" s="52">
        <f>AVERAGE(C8:C10)*(AVERAGE(D8:D10)/100)</f>
        <v>1.5954764803083429E-2</v>
      </c>
      <c r="G5" s="36"/>
    </row>
    <row r="6" spans="1:7" x14ac:dyDescent="0.2">
      <c r="A6" s="38" t="s">
        <v>15</v>
      </c>
      <c r="B6" s="28"/>
      <c r="C6" s="28"/>
      <c r="D6" s="28"/>
      <c r="E6" s="27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10</v>
      </c>
      <c r="B8" s="5" t="s">
        <v>58</v>
      </c>
      <c r="C8" s="40">
        <v>1.5467592592592594E-2</v>
      </c>
      <c r="D8" s="6">
        <f>INDEX('Points Summary'!$H$4:$H$672,G8)</f>
        <v>100.00151622905494</v>
      </c>
      <c r="E8" s="67">
        <f>(AVERAGE($D$8:$D$10)/100*AVERAGE($C$8:$C$10))/C8</f>
        <v>1.0314963177090752</v>
      </c>
      <c r="F8" s="5"/>
      <c r="G8" s="4">
        <f>MATCH(B8,'Points Summary'!$B$4:$B$673,0)</f>
        <v>41</v>
      </c>
    </row>
    <row r="9" spans="1:7" x14ac:dyDescent="0.2">
      <c r="A9" s="4">
        <v>85</v>
      </c>
      <c r="B9" s="5" t="s">
        <v>247</v>
      </c>
      <c r="C9" s="40">
        <v>1.7773148148148149E-2</v>
      </c>
      <c r="D9" s="6">
        <f>INDEX('Points Summary'!$H$4:$H$672,G9)</f>
        <v>89.257976658611497</v>
      </c>
      <c r="E9" s="67">
        <f t="shared" ref="E9:E10" si="0">(AVERAGE($D$8:$D$10)/100*AVERAGE($C$8:$C$10))/C9</f>
        <v>0.89768929342693948</v>
      </c>
      <c r="F9" s="5"/>
      <c r="G9" s="4">
        <f>MATCH(B9,'Points Summary'!$B$4:$B$673,0)</f>
        <v>40</v>
      </c>
    </row>
    <row r="10" spans="1:7" x14ac:dyDescent="0.2">
      <c r="A10" s="4">
        <v>81</v>
      </c>
      <c r="B10" s="5" t="s">
        <v>221</v>
      </c>
      <c r="C10" s="40">
        <v>1.7167824074074075E-2</v>
      </c>
      <c r="D10" s="6">
        <f>INDEX('Points Summary'!$H$4:$H$672,G10)</f>
        <v>95.598613577506455</v>
      </c>
      <c r="E10" s="67">
        <f t="shared" si="0"/>
        <v>0.929341117094592</v>
      </c>
      <c r="F10" s="5"/>
      <c r="G10" s="4">
        <f>MATCH(B10,'Points Summary'!$B$4:$B$673,0)</f>
        <v>42</v>
      </c>
    </row>
    <row r="11" spans="1:7" x14ac:dyDescent="0.2">
      <c r="A11" s="4"/>
      <c r="B11" s="5"/>
      <c r="C11" s="40"/>
      <c r="D11" s="6"/>
      <c r="E11" s="67"/>
      <c r="F11" s="5"/>
      <c r="G11" s="4"/>
    </row>
    <row r="12" spans="1:7" x14ac:dyDescent="0.2">
      <c r="A12" s="63"/>
      <c r="B12" s="81"/>
      <c r="C12" s="40"/>
      <c r="D12" s="6"/>
      <c r="E12" s="67"/>
      <c r="F12" s="5"/>
      <c r="G12" s="4"/>
    </row>
    <row r="13" spans="1:7" x14ac:dyDescent="0.2">
      <c r="A13" s="63"/>
      <c r="B13" s="81"/>
      <c r="C13" s="40"/>
      <c r="D13" s="6"/>
      <c r="E13" s="67"/>
      <c r="F13" s="5"/>
      <c r="G13" s="4"/>
    </row>
    <row r="14" spans="1:7" x14ac:dyDescent="0.2">
      <c r="A14" s="63"/>
      <c r="B14" s="81"/>
      <c r="C14" s="40"/>
      <c r="D14" s="6"/>
      <c r="E14" s="67"/>
      <c r="F14" s="5"/>
      <c r="G14" s="4"/>
    </row>
    <row r="15" spans="1:7" x14ac:dyDescent="0.2">
      <c r="B15" s="81"/>
      <c r="C15" s="40"/>
      <c r="D15" s="6"/>
      <c r="E15" s="67"/>
      <c r="F15" s="5"/>
      <c r="G15" s="4"/>
    </row>
    <row r="16" spans="1:7" x14ac:dyDescent="0.2">
      <c r="B16" s="81"/>
      <c r="C16" s="40"/>
      <c r="D16" s="6"/>
      <c r="E16" s="67"/>
      <c r="F16" s="5"/>
      <c r="G16" s="4"/>
    </row>
    <row r="17" spans="2:7" x14ac:dyDescent="0.2">
      <c r="B17" s="5"/>
      <c r="C17" s="40"/>
      <c r="D17" s="6"/>
      <c r="E17" s="67"/>
      <c r="F17" s="5"/>
      <c r="G17" s="4"/>
    </row>
    <row r="18" spans="2:7" x14ac:dyDescent="0.2">
      <c r="D18" s="6"/>
      <c r="E18" s="67"/>
      <c r="F18" s="5"/>
      <c r="G18" s="4"/>
    </row>
    <row r="19" spans="2:7" x14ac:dyDescent="0.2">
      <c r="C19" s="40"/>
      <c r="D19" s="6"/>
      <c r="E19" s="67"/>
      <c r="F19" s="5"/>
      <c r="G19" s="4"/>
    </row>
    <row r="20" spans="2:7" x14ac:dyDescent="0.2">
      <c r="C20" s="40"/>
      <c r="D20" s="6"/>
      <c r="E20" s="67"/>
      <c r="F20" s="5"/>
      <c r="G20" s="4"/>
    </row>
    <row r="21" spans="2:7" x14ac:dyDescent="0.2">
      <c r="C21" s="40"/>
      <c r="D21" s="6"/>
      <c r="E21" s="67"/>
      <c r="F21" s="5"/>
      <c r="G21" s="4"/>
    </row>
    <row r="22" spans="2:7" x14ac:dyDescent="0.2">
      <c r="C22" s="40"/>
      <c r="D22" s="6"/>
      <c r="E22" s="67"/>
      <c r="F22" s="5"/>
      <c r="G22" s="4"/>
    </row>
    <row r="23" spans="2:7" x14ac:dyDescent="0.2">
      <c r="C23" s="40"/>
      <c r="D23" s="6"/>
      <c r="E23" s="67"/>
      <c r="F23" s="5"/>
      <c r="G23" s="4"/>
    </row>
    <row r="24" spans="2:7" x14ac:dyDescent="0.2">
      <c r="C24" s="40"/>
      <c r="D24" s="6"/>
      <c r="E24" s="67"/>
      <c r="F24" s="5"/>
      <c r="G24" s="4"/>
    </row>
  </sheetData>
  <sortState ref="A8:D11">
    <sortCondition descending="1" ref="D8:D11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 Race Points Calculation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16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2.2431683147809901E-2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116">
        <v>1</v>
      </c>
      <c r="B8" s="5" t="s">
        <v>94</v>
      </c>
      <c r="C8" s="60">
        <f>TIME(1,5,16)</f>
        <v>4.5324074074074072E-2</v>
      </c>
      <c r="D8" s="6">
        <f>INDEX('Points Summary'!$E$4:$E$672,G8)</f>
        <v>49.486533417014016</v>
      </c>
      <c r="E8" s="41">
        <f>(AVERAGE($D$8:$D$10)/100*AVERAGE($C$8:$C$10))/C8</f>
        <v>0.4949176261416689</v>
      </c>
      <c r="F8" s="5"/>
      <c r="G8" s="4">
        <f>MATCH(B8,'Points Summary'!$B$4:$B$673,0)</f>
        <v>18</v>
      </c>
    </row>
    <row r="9" spans="1:7" x14ac:dyDescent="0.2">
      <c r="A9" s="63">
        <v>2</v>
      </c>
      <c r="B9" s="5" t="s">
        <v>315</v>
      </c>
      <c r="C9" s="60">
        <f>TIME(1,3,42)</f>
        <v>4.4236111111111115E-2</v>
      </c>
      <c r="D9" s="6">
        <f>INDEX('Points Summary'!$E$4:$E$672,G9)</f>
        <v>50.514713516710543</v>
      </c>
      <c r="E9" s="41">
        <f>(AVERAGE($D$8:$D$10)/100*AVERAGE($C$8:$C$10))/C9</f>
        <v>0.50708985451877953</v>
      </c>
      <c r="F9" s="5"/>
      <c r="G9" s="4">
        <f>MATCH(B9,'Points Summary'!$B$4:$B$673,0)</f>
        <v>141</v>
      </c>
    </row>
    <row r="10" spans="1:7" x14ac:dyDescent="0.2">
      <c r="A10" s="4">
        <v>1</v>
      </c>
      <c r="B10" s="5" t="s">
        <v>318</v>
      </c>
      <c r="C10" s="60">
        <f>TIME(1,2,39)</f>
        <v>4.3506944444444445E-2</v>
      </c>
      <c r="D10" s="6">
        <f>INDEX('Points Summary'!$F$4:$F$672,G10)</f>
        <v>51.715521055637709</v>
      </c>
      <c r="E10" s="41">
        <f>(AVERAGE($D$8:$D$10)/100*AVERAGE($C$8:$C$10))/C10</f>
        <v>0.51558856716434565</v>
      </c>
      <c r="F10" s="5"/>
      <c r="G10" s="4">
        <f>MATCH(B10,'Points Summary'!$B$4:$B$673,0)</f>
        <v>13</v>
      </c>
    </row>
    <row r="11" spans="1:7" x14ac:dyDescent="0.2">
      <c r="A11" s="116">
        <v>3</v>
      </c>
      <c r="B11" s="5" t="s">
        <v>316</v>
      </c>
      <c r="C11" s="60">
        <f>TIME(1,10,50)</f>
        <v>4.9189814814814818E-2</v>
      </c>
      <c r="D11" s="6">
        <f>INDEX('Points Summary'!$E$4:$E$672,G11)</f>
        <v>31.480806867006041</v>
      </c>
      <c r="E11" s="41">
        <f>(AVERAGE($D$8:$D$10)/100*AVERAGE($C$8:$C$10))/C11</f>
        <v>0.45602292328724126</v>
      </c>
      <c r="F11" s="5"/>
      <c r="G11" s="4">
        <f>MATCH(B11,'Points Summary'!$B$4:$B$673,0)</f>
        <v>30</v>
      </c>
    </row>
    <row r="12" spans="1:7" x14ac:dyDescent="0.2">
      <c r="A12" s="116"/>
      <c r="B12" s="5"/>
      <c r="C12" s="60"/>
      <c r="D12" s="6"/>
      <c r="E12" s="41"/>
      <c r="F12" s="5"/>
      <c r="G12" s="4"/>
    </row>
    <row r="13" spans="1:7" x14ac:dyDescent="0.2">
      <c r="A13" s="63"/>
      <c r="B13" s="114"/>
      <c r="C13" s="60"/>
      <c r="D13" s="6"/>
      <c r="E13" s="41"/>
      <c r="F13" s="5"/>
      <c r="G13" s="4"/>
    </row>
    <row r="14" spans="1:7" x14ac:dyDescent="0.2">
      <c r="A14" s="63"/>
      <c r="B14" s="114"/>
      <c r="C14" s="60"/>
      <c r="D14" s="6"/>
      <c r="E14" s="41"/>
      <c r="F14" s="5"/>
      <c r="G14" s="4"/>
    </row>
    <row r="15" spans="1:7" x14ac:dyDescent="0.2">
      <c r="A15" s="63"/>
      <c r="B15" s="114"/>
      <c r="C15" s="60"/>
      <c r="D15" s="6"/>
      <c r="E15" s="41"/>
      <c r="F15" s="5"/>
      <c r="G15" s="4"/>
    </row>
    <row r="16" spans="1:7" x14ac:dyDescent="0.2">
      <c r="A16" s="63"/>
      <c r="B16" s="114"/>
      <c r="C16" s="60"/>
      <c r="D16" s="6"/>
      <c r="E16" s="41"/>
      <c r="F16" s="5"/>
      <c r="G16" s="4"/>
    </row>
  </sheetData>
  <sortState ref="A8:G11">
    <sortCondition descending="1" ref="D8:D11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16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317</v>
      </c>
      <c r="C5" s="35"/>
      <c r="D5" s="35"/>
      <c r="E5" s="35" t="s">
        <v>28</v>
      </c>
      <c r="F5" s="52">
        <f>AVERAGE(C8:C10)*(AVERAGE(D8:D10)/100)</f>
        <v>1.0940663352134878E-2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94</v>
      </c>
      <c r="C8" s="40">
        <f>TIME(0,29,29)</f>
        <v>2.0474537037037038E-2</v>
      </c>
      <c r="D8" s="6">
        <f>INDEX('Points Summary'!$F$4:$F$672,G8)</f>
        <v>49.491108471830572</v>
      </c>
      <c r="E8" s="41">
        <f t="shared" ref="E8:E14" si="0">(AVERAGE($D$8:$D$10)/100*AVERAGE($C$8:$C$10))/C8</f>
        <v>0.53435461482445079</v>
      </c>
      <c r="F8" s="5"/>
      <c r="G8" s="4">
        <f>MATCH(B8,'Points Summary'!$B$4:$B$673,0)</f>
        <v>18</v>
      </c>
    </row>
    <row r="9" spans="1:7" x14ac:dyDescent="0.2">
      <c r="A9" s="4">
        <v>1</v>
      </c>
      <c r="B9" s="5" t="s">
        <v>315</v>
      </c>
      <c r="C9" s="40">
        <f>TIME(0,28,20)</f>
        <v>1.9675925925925927E-2</v>
      </c>
      <c r="D9" s="6">
        <f>INDEX('Points Summary'!$F$4:$F$672,G9)</f>
        <v>51.598687384929619</v>
      </c>
      <c r="E9" s="41">
        <f t="shared" si="0"/>
        <v>0.5560431256614432</v>
      </c>
      <c r="F9" s="5"/>
      <c r="G9" s="4">
        <f>MATCH(B9,'Points Summary'!$B$4:$B$673,0)</f>
        <v>141</v>
      </c>
    </row>
    <row r="10" spans="1:7" x14ac:dyDescent="0.2">
      <c r="A10" s="4">
        <v>3</v>
      </c>
      <c r="B10" s="5" t="s">
        <v>83</v>
      </c>
      <c r="C10" s="40">
        <f>TIME(0,37,59)</f>
        <v>2.6377314814814815E-2</v>
      </c>
      <c r="D10" s="6">
        <f>INDEX('Points Summary'!$F$4:$F$672,G10)</f>
        <v>46.917507946651071</v>
      </c>
      <c r="E10" s="41">
        <f t="shared" si="0"/>
        <v>0.41477547767637274</v>
      </c>
      <c r="F10" s="5"/>
      <c r="G10" s="4">
        <f>MATCH(B10,'Points Summary'!$B$4:$B$673,0)</f>
        <v>6</v>
      </c>
    </row>
    <row r="11" spans="1:7" x14ac:dyDescent="0.2">
      <c r="A11" s="68">
        <v>2</v>
      </c>
      <c r="B11" s="42" t="s">
        <v>319</v>
      </c>
      <c r="C11" s="40">
        <f>TIME(0,36,8)</f>
        <v>2.5092592592592593E-2</v>
      </c>
      <c r="D11" s="6">
        <f>INDEX('Points Summary'!$F$4:$F$672,G11)</f>
        <v>39.347281062858286</v>
      </c>
      <c r="E11" s="41">
        <f t="shared" si="0"/>
        <v>0.43601167602603941</v>
      </c>
      <c r="F11" s="5"/>
      <c r="G11" s="4">
        <f>MATCH(B11,'Points Summary'!$B$4:$B$673,0)</f>
        <v>103</v>
      </c>
    </row>
    <row r="12" spans="1:7" x14ac:dyDescent="0.2">
      <c r="A12" s="4">
        <v>2</v>
      </c>
      <c r="B12" s="5" t="s">
        <v>318</v>
      </c>
      <c r="C12" s="40">
        <f>TIME(0,34,9)</f>
        <v>2.3715277777777776E-2</v>
      </c>
      <c r="D12" s="6">
        <f>INDEX('Points Summary'!$F$4:$F$672,G12)</f>
        <v>51.715521055637709</v>
      </c>
      <c r="E12" s="41">
        <f t="shared" si="0"/>
        <v>0.4613339744384839</v>
      </c>
      <c r="F12" s="5"/>
      <c r="G12" s="4">
        <f>MATCH(B12,'Points Summary'!$B$4:$B$673,0)</f>
        <v>13</v>
      </c>
    </row>
    <row r="13" spans="1:7" x14ac:dyDescent="0.2">
      <c r="A13" s="4">
        <v>4</v>
      </c>
      <c r="B13" s="5" t="s">
        <v>316</v>
      </c>
      <c r="C13" s="40">
        <f>TIME(1,0,10)</f>
        <v>4.1782407407407407E-2</v>
      </c>
      <c r="D13" s="6">
        <f>INDEX('Points Summary'!$F$4:$F$672,G13)</f>
        <v>34.070633476673052</v>
      </c>
      <c r="E13" s="41">
        <f t="shared" si="0"/>
        <v>0.26184856333087353</v>
      </c>
      <c r="F13" s="5"/>
      <c r="G13" s="4">
        <f>MATCH(B13,'Points Summary'!$B$4:$B$673,0)</f>
        <v>30</v>
      </c>
    </row>
    <row r="14" spans="1:7" x14ac:dyDescent="0.2">
      <c r="A14" s="4">
        <v>3</v>
      </c>
      <c r="B14" s="5" t="s">
        <v>320</v>
      </c>
      <c r="C14" s="40">
        <f>TIME(1,7,11)</f>
        <v>4.6655092592592595E-2</v>
      </c>
      <c r="D14" s="6">
        <f>INDEX('Points Summary'!$F$4:$F$672,G14)</f>
        <v>24.097152635579665</v>
      </c>
      <c r="E14" s="41">
        <f t="shared" si="0"/>
        <v>0.23450094607403954</v>
      </c>
      <c r="F14" s="5"/>
      <c r="G14" s="4">
        <f>MATCH(B14,'Points Summary'!$B$4:$B$673,0)</f>
        <v>51</v>
      </c>
    </row>
    <row r="15" spans="1:7" x14ac:dyDescent="0.2">
      <c r="A15" s="4"/>
      <c r="B15" s="208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</sheetData>
  <sortState ref="A8:G14">
    <sortCondition descending="1" ref="D8:D14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17"/>
  <sheetViews>
    <sheetView workbookViewId="0">
      <selection activeCell="F24" sqref="F24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9" x14ac:dyDescent="0.2">
      <c r="A1" s="29" t="s">
        <v>10</v>
      </c>
      <c r="B1" s="30"/>
      <c r="C1" s="31"/>
      <c r="D1" s="31"/>
      <c r="E1" s="31"/>
      <c r="F1" s="31"/>
      <c r="G1" s="32"/>
    </row>
    <row r="2" spans="1:9" x14ac:dyDescent="0.2">
      <c r="A2" s="33" t="s">
        <v>11</v>
      </c>
      <c r="B2" s="34"/>
      <c r="C2" s="35"/>
      <c r="D2" s="35"/>
      <c r="E2" s="35"/>
      <c r="F2" s="35"/>
      <c r="G2" s="36"/>
    </row>
    <row r="3" spans="1:9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9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9" x14ac:dyDescent="0.2">
      <c r="A5" s="33" t="s">
        <v>14</v>
      </c>
      <c r="B5" s="37" t="s">
        <v>321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9" x14ac:dyDescent="0.2">
      <c r="A6" s="38" t="s">
        <v>15</v>
      </c>
      <c r="B6" s="28"/>
      <c r="C6" s="28"/>
      <c r="D6" s="28"/>
      <c r="E6" s="28"/>
      <c r="F6" s="28"/>
      <c r="G6" s="39"/>
    </row>
    <row r="7" spans="1:9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9" x14ac:dyDescent="0.2">
      <c r="A8" s="4">
        <v>1</v>
      </c>
      <c r="B8" s="289" t="s">
        <v>267</v>
      </c>
      <c r="C8" s="40">
        <v>1.5877314814814813E-2</v>
      </c>
      <c r="D8" s="6" t="e">
        <f>INDEX('Points Summary'!$F$4:$F$672,G8)</f>
        <v>#N/A</v>
      </c>
      <c r="E8" s="41" t="e">
        <f>(AVERAGE($D$8:$D$9)/100*AVERAGE($C$8:$C$9))/C8</f>
        <v>#N/A</v>
      </c>
      <c r="F8" s="5"/>
      <c r="G8" s="4" t="e">
        <f>MATCH(B8,'Points Summary'!$B$4:$B$673,0)</f>
        <v>#N/A</v>
      </c>
      <c r="I8" s="289"/>
    </row>
    <row r="9" spans="1:9" x14ac:dyDescent="0.2">
      <c r="A9" s="68">
        <v>2</v>
      </c>
      <c r="B9" s="289" t="s">
        <v>312</v>
      </c>
      <c r="C9" s="40">
        <v>1.687384259259259E-2</v>
      </c>
      <c r="D9" s="6">
        <f>INDEX('Points Summary'!$F$4:$F$672,G9)</f>
        <v>52.452932111557999</v>
      </c>
      <c r="E9" s="41" t="e">
        <f>(AVERAGE($D$8:$D$9)/100*AVERAGE($C$8:$C$9))/C9</f>
        <v>#N/A</v>
      </c>
      <c r="F9" s="5"/>
      <c r="G9" s="4">
        <f>MATCH(B9,'Points Summary'!$B$4:$B$673,0)</f>
        <v>66</v>
      </c>
      <c r="I9" s="289"/>
    </row>
    <row r="10" spans="1:9" x14ac:dyDescent="0.2">
      <c r="A10" s="68">
        <v>3</v>
      </c>
      <c r="B10" s="289" t="s">
        <v>310</v>
      </c>
      <c r="C10" s="40">
        <v>1.781134259259259E-2</v>
      </c>
      <c r="D10" s="6">
        <f>INDEX('Points Summary'!$F$4:$F$672,G10)</f>
        <v>53.048121598438328</v>
      </c>
      <c r="E10" s="41" t="e">
        <f>(AVERAGE($D$8:$D$9)/100*AVERAGE($C$8:$C$9))/C10</f>
        <v>#N/A</v>
      </c>
      <c r="F10" s="5"/>
      <c r="G10" s="4">
        <f>MATCH(B10,'Points Summary'!$B$4:$B$673,0)</f>
        <v>4</v>
      </c>
      <c r="I10" s="289"/>
    </row>
    <row r="11" spans="1:9" x14ac:dyDescent="0.2">
      <c r="A11" s="68">
        <v>4</v>
      </c>
      <c r="B11" s="289" t="s">
        <v>322</v>
      </c>
      <c r="C11" s="40">
        <v>1.781134259259259E-2</v>
      </c>
      <c r="D11" s="6" t="e">
        <f>INDEX('Points Summary'!$F$4:$F$672,G11)</f>
        <v>#N/A</v>
      </c>
      <c r="E11" s="41" t="e">
        <f t="shared" ref="E11:E12" si="0">(AVERAGE($D$8:$D$9)/100*AVERAGE($C$8:$C$9))/C11</f>
        <v>#N/A</v>
      </c>
      <c r="F11" s="5"/>
      <c r="G11" s="4" t="e">
        <f>MATCH(B11,'Points Summary'!$B$4:$B$673,0)</f>
        <v>#N/A</v>
      </c>
      <c r="I11" s="289"/>
    </row>
    <row r="12" spans="1:9" x14ac:dyDescent="0.2">
      <c r="A12" s="68">
        <v>5</v>
      </c>
      <c r="B12" s="289" t="s">
        <v>324</v>
      </c>
      <c r="C12" s="40">
        <v>1.781134259259259E-2</v>
      </c>
      <c r="D12" s="6">
        <f>INDEX('Points Summary'!$F$4:$F$672,G12)</f>
        <v>0</v>
      </c>
      <c r="E12" s="41" t="e">
        <f t="shared" si="0"/>
        <v>#N/A</v>
      </c>
      <c r="F12" s="5"/>
      <c r="G12" s="4">
        <f>MATCH(B12,'Points Summary'!$B$4:$B$673,0)</f>
        <v>163</v>
      </c>
      <c r="I12" s="289"/>
    </row>
    <row r="13" spans="1:9" x14ac:dyDescent="0.2">
      <c r="A13" s="4"/>
      <c r="B13" s="289" t="s">
        <v>323</v>
      </c>
      <c r="C13" s="40">
        <v>1.781134259259259E-2</v>
      </c>
      <c r="D13" s="6" t="e">
        <f>INDEX('Points Summary'!$F$4:$F$672,G13)</f>
        <v>#N/A</v>
      </c>
      <c r="E13" s="41" t="e">
        <f t="shared" ref="E13:E14" si="1">(AVERAGE($D$8:$D$9)/100*AVERAGE($C$8:$C$9))/C13</f>
        <v>#N/A</v>
      </c>
      <c r="F13" s="5"/>
      <c r="G13" s="4" t="e">
        <f>MATCH(B13,'Points Summary'!$B$4:$B$673,0)</f>
        <v>#N/A</v>
      </c>
      <c r="I13" s="289"/>
    </row>
    <row r="14" spans="1:9" x14ac:dyDescent="0.2">
      <c r="A14" s="68"/>
      <c r="B14" s="5" t="s">
        <v>325</v>
      </c>
      <c r="C14" s="40">
        <v>1.781134259259259E-2</v>
      </c>
      <c r="D14" s="6">
        <f>INDEX('Points Summary'!$F$4:$F$672,G14)</f>
        <v>0</v>
      </c>
      <c r="E14" s="41" t="e">
        <f t="shared" si="1"/>
        <v>#N/A</v>
      </c>
      <c r="F14" s="5"/>
      <c r="G14" s="4">
        <f>MATCH(B14,'Points Summary'!$B$4:$B$673,0)</f>
        <v>164</v>
      </c>
    </row>
    <row r="15" spans="1:9" x14ac:dyDescent="0.2">
      <c r="A15" s="68"/>
      <c r="B15" s="5"/>
      <c r="C15" s="40"/>
      <c r="D15" s="6"/>
      <c r="E15" s="41"/>
      <c r="F15" s="5"/>
      <c r="G15" s="4"/>
    </row>
    <row r="16" spans="1:9" x14ac:dyDescent="0.2">
      <c r="B16" s="5"/>
      <c r="C16" s="40"/>
      <c r="D16" s="6"/>
      <c r="E16" s="41"/>
      <c r="F16" s="5"/>
      <c r="G16" s="4"/>
    </row>
    <row r="17" spans="2:7" x14ac:dyDescent="0.2">
      <c r="B17" s="5"/>
      <c r="C17" s="40"/>
      <c r="D17" s="6"/>
      <c r="E17" s="41"/>
      <c r="F17" s="5"/>
      <c r="G17" s="4"/>
    </row>
  </sheetData>
  <sortState ref="A8:D13">
    <sortCondition descending="1" ref="D8:D13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2017 Race Points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16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25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233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</v>
      </c>
      <c r="B8" s="5" t="s">
        <v>58</v>
      </c>
      <c r="C8" s="40">
        <v>2.1521990740740741E-2</v>
      </c>
      <c r="D8" s="6">
        <f>INDEX('Points Summary'!$F$4:$F$672,G8)</f>
        <v>99.28871437032133</v>
      </c>
      <c r="E8" s="41" t="e">
        <f>(AVERAGE($D$8:$D$9)/100*AVERAGE($C$8:$C$9))/C8</f>
        <v>#N/A</v>
      </c>
      <c r="F8" s="5"/>
      <c r="G8" s="4">
        <f>MATCH(B8,'Points Summary'!$B$4:$B$673,0)</f>
        <v>41</v>
      </c>
    </row>
    <row r="9" spans="1:7" x14ac:dyDescent="0.2">
      <c r="A9" s="4">
        <v>44</v>
      </c>
      <c r="B9" s="5" t="s">
        <v>53</v>
      </c>
      <c r="C9" s="40">
        <v>2.3250000000000003E-2</v>
      </c>
      <c r="D9" s="6" t="e">
        <f>INDEX('Points Summary'!$F$4:$F$672,G9)</f>
        <v>#N/A</v>
      </c>
      <c r="E9" s="41" t="e">
        <f>(AVERAGE($D$8:$D$9)/100*AVERAGE($C$8:$C$9))/C9</f>
        <v>#N/A</v>
      </c>
      <c r="F9" s="5"/>
      <c r="G9" s="4" t="e">
        <f>MATCH(B9,'Points Summary'!$B$4:$B$673,0)</f>
        <v>#N/A</v>
      </c>
    </row>
    <row r="10" spans="1:7" x14ac:dyDescent="0.2">
      <c r="A10" s="4"/>
      <c r="B10" s="5"/>
      <c r="C10" s="40"/>
      <c r="D10" s="6"/>
      <c r="E10" s="41"/>
      <c r="F10" s="5"/>
      <c r="G10" s="4"/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B12" s="5"/>
      <c r="C12" s="40">
        <v>2.1903935185185186E-2</v>
      </c>
      <c r="D12" s="40">
        <v>3.8194444444444446E-4</v>
      </c>
      <c r="E12" s="40">
        <f>C12-D12</f>
        <v>2.1521990740740741E-2</v>
      </c>
      <c r="F12" s="5"/>
      <c r="G12" s="4"/>
    </row>
    <row r="13" spans="1:7" x14ac:dyDescent="0.2">
      <c r="A13" s="4"/>
      <c r="B13" s="5"/>
      <c r="C13" s="40">
        <v>2.4628472222222225E-2</v>
      </c>
      <c r="D13" s="40">
        <v>1.3784722222222221E-3</v>
      </c>
      <c r="E13" s="40">
        <f>C13-D13</f>
        <v>2.3250000000000003E-2</v>
      </c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</sheetData>
  <sortState ref="A8:D16">
    <sortCondition descending="1" ref="D8:D16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L14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/>
      <c r="C1" s="31"/>
      <c r="D1" s="31"/>
      <c r="E1" s="31"/>
      <c r="F1" s="31"/>
      <c r="G1" s="32"/>
    </row>
    <row r="2" spans="1:12" x14ac:dyDescent="0.2">
      <c r="A2" s="33" t="s">
        <v>11</v>
      </c>
      <c r="B2" s="34"/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73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214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4"/>
      <c r="K7" s="4"/>
      <c r="L7" s="4"/>
    </row>
    <row r="8" spans="1:12" x14ac:dyDescent="0.2">
      <c r="A8" s="4">
        <v>3</v>
      </c>
      <c r="B8" s="5" t="s">
        <v>72</v>
      </c>
      <c r="C8" s="40">
        <v>1.2609953703703705E-2</v>
      </c>
      <c r="D8" s="6" t="e">
        <f>INDEX('Points Summary'!$F$4:$F$672,G8)</f>
        <v>#N/A</v>
      </c>
      <c r="E8" s="41" t="e">
        <f>(AVERAGE($D$8:$D$9)/100*AVERAGE($C$8:$C$9))/C8</f>
        <v>#N/A</v>
      </c>
      <c r="F8" s="5"/>
      <c r="G8" s="4" t="e">
        <f>MATCH(B8,'Points Summary'!$B$4:$B$673,0)</f>
        <v>#N/A</v>
      </c>
      <c r="J8" s="40"/>
      <c r="K8" s="40"/>
      <c r="L8" s="40"/>
    </row>
    <row r="9" spans="1:12" x14ac:dyDescent="0.2">
      <c r="A9" s="4">
        <v>14</v>
      </c>
      <c r="B9" s="5" t="s">
        <v>216</v>
      </c>
      <c r="C9" s="40">
        <v>1.3840277777777778E-2</v>
      </c>
      <c r="D9" s="6">
        <f>INDEX('Points Summary'!$F$4:$F$672,G9)</f>
        <v>93.181593215393349</v>
      </c>
      <c r="E9" s="41" t="e">
        <f>(AVERAGE($D$8:$D$9)/100*AVERAGE($C$8:$C$9))/C9</f>
        <v>#N/A</v>
      </c>
      <c r="F9" s="5"/>
      <c r="G9" s="4">
        <f>MATCH(B9,'Points Summary'!$B$4:$B$673,0)</f>
        <v>101</v>
      </c>
      <c r="J9" s="40"/>
      <c r="K9" s="40"/>
      <c r="L9" s="40"/>
    </row>
    <row r="10" spans="1:12" x14ac:dyDescent="0.2">
      <c r="A10" s="4"/>
      <c r="B10" s="5"/>
      <c r="C10" s="40"/>
      <c r="D10" s="6"/>
      <c r="E10" s="41"/>
      <c r="F10" s="5"/>
      <c r="G10" s="4"/>
    </row>
    <row r="11" spans="1:12" x14ac:dyDescent="0.2">
      <c r="A11" s="4"/>
      <c r="B11" s="5"/>
      <c r="C11" s="40"/>
      <c r="D11" s="6"/>
      <c r="E11" s="41"/>
      <c r="F11" s="5"/>
      <c r="G11" s="4"/>
    </row>
    <row r="12" spans="1:12" x14ac:dyDescent="0.2">
      <c r="A12" s="4"/>
      <c r="B12" s="5"/>
      <c r="C12" s="40"/>
      <c r="D12" s="6"/>
      <c r="E12" s="41"/>
      <c r="F12" s="5"/>
      <c r="G12" s="4"/>
    </row>
    <row r="13" spans="1:12" x14ac:dyDescent="0.2">
      <c r="A13" s="4"/>
      <c r="B13" s="5"/>
      <c r="C13" s="40"/>
      <c r="D13" s="6"/>
      <c r="E13" s="41"/>
      <c r="F13" s="5"/>
      <c r="G13" s="4"/>
    </row>
    <row r="14" spans="1:12" x14ac:dyDescent="0.2">
      <c r="A14" s="4"/>
      <c r="B14" s="5"/>
      <c r="C14" s="40"/>
      <c r="D14" s="6"/>
      <c r="E14" s="41"/>
      <c r="F14" s="5"/>
      <c r="G14" s="4"/>
    </row>
  </sheetData>
  <sortState ref="A8:D14">
    <sortCondition descending="1" ref="D8:D14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L29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/>
      <c r="C1" s="31"/>
      <c r="D1" s="31"/>
      <c r="E1" s="31"/>
      <c r="F1" s="31"/>
      <c r="G1" s="32"/>
    </row>
    <row r="2" spans="1:12" x14ac:dyDescent="0.2">
      <c r="A2" s="33" t="s">
        <v>11</v>
      </c>
      <c r="B2" s="34"/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73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214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116"/>
      <c r="K7" s="116"/>
      <c r="L7" s="116"/>
    </row>
    <row r="8" spans="1:12" x14ac:dyDescent="0.2">
      <c r="A8" s="4">
        <v>36</v>
      </c>
      <c r="B8" s="5" t="s">
        <v>72</v>
      </c>
      <c r="C8" s="40">
        <v>1.77337962962963E-2</v>
      </c>
      <c r="D8" s="6" t="e">
        <f>INDEX('Points Summary'!$F$4:$F$672,G8)</f>
        <v>#N/A</v>
      </c>
      <c r="E8" s="41" t="e">
        <f>(AVERAGE($D$8:$D$9)/100*AVERAGE($C$8:$C$9))/C8</f>
        <v>#N/A</v>
      </c>
      <c r="F8" s="5"/>
      <c r="G8" s="4" t="e">
        <f>MATCH(B8,'Points Summary'!$B$4:$B$673,0)</f>
        <v>#N/A</v>
      </c>
      <c r="J8" s="40"/>
      <c r="K8" s="40"/>
      <c r="L8" s="40"/>
    </row>
    <row r="9" spans="1:12" x14ac:dyDescent="0.2">
      <c r="A9" s="4">
        <v>41</v>
      </c>
      <c r="B9" s="5" t="s">
        <v>216</v>
      </c>
      <c r="C9" s="40">
        <v>1.8432870370370374E-2</v>
      </c>
      <c r="D9" s="6">
        <f>INDEX('Points Summary'!$F$4:$F$672,G9)</f>
        <v>93.181593215393349</v>
      </c>
      <c r="E9" s="41" t="e">
        <f>(AVERAGE($D$8:$D$9)/100*AVERAGE($C$8:$C$9))/C9</f>
        <v>#N/A</v>
      </c>
      <c r="F9" s="5"/>
      <c r="G9" s="4">
        <f>MATCH(B9,'Points Summary'!$B$4:$B$673,0)</f>
        <v>101</v>
      </c>
      <c r="J9" s="40"/>
      <c r="K9" s="40"/>
      <c r="L9" s="40"/>
    </row>
    <row r="10" spans="1:12" x14ac:dyDescent="0.2">
      <c r="A10" s="4"/>
      <c r="B10" s="5"/>
      <c r="C10" s="40"/>
      <c r="D10" s="6"/>
      <c r="E10" s="41"/>
      <c r="F10" s="5"/>
      <c r="G10" s="4"/>
    </row>
    <row r="11" spans="1:12" x14ac:dyDescent="0.2">
      <c r="A11" s="4"/>
      <c r="B11" s="5"/>
      <c r="C11" s="40"/>
      <c r="D11" s="6"/>
      <c r="E11" s="41"/>
      <c r="F11" s="5"/>
      <c r="G11" s="4"/>
    </row>
    <row r="12" spans="1:12" x14ac:dyDescent="0.2">
      <c r="A12" s="4"/>
      <c r="B12" s="5"/>
      <c r="C12" s="116" t="s">
        <v>68</v>
      </c>
      <c r="D12" s="116" t="s">
        <v>69</v>
      </c>
      <c r="E12" s="116" t="s">
        <v>70</v>
      </c>
      <c r="F12" s="5"/>
      <c r="G12" s="4"/>
    </row>
    <row r="13" spans="1:12" x14ac:dyDescent="0.2">
      <c r="A13" s="4"/>
      <c r="B13" s="5"/>
      <c r="C13" s="40">
        <v>1.8000000000000002E-2</v>
      </c>
      <c r="D13" s="40">
        <v>2.6620370370370372E-4</v>
      </c>
      <c r="E13" s="40">
        <f>C13-D13</f>
        <v>1.77337962962963E-2</v>
      </c>
      <c r="F13" s="5"/>
      <c r="G13" s="4"/>
    </row>
    <row r="14" spans="1:12" x14ac:dyDescent="0.2">
      <c r="A14" s="4"/>
      <c r="B14" s="5"/>
      <c r="C14" s="40">
        <v>1.9929398148148151E-2</v>
      </c>
      <c r="D14" s="40">
        <v>1.4965277777777778E-3</v>
      </c>
      <c r="E14" s="40">
        <f>C14-D14</f>
        <v>1.8432870370370374E-2</v>
      </c>
      <c r="F14" s="5"/>
      <c r="G14" s="4"/>
    </row>
    <row r="15" spans="1:12" x14ac:dyDescent="0.2">
      <c r="A15" s="4"/>
      <c r="B15" s="5"/>
      <c r="C15" s="40"/>
      <c r="D15" s="6"/>
      <c r="E15" s="41"/>
      <c r="F15" s="5"/>
      <c r="G15" s="4"/>
    </row>
    <row r="16" spans="1:12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  <row r="22" spans="1:7" x14ac:dyDescent="0.2">
      <c r="A22" s="4"/>
      <c r="B22" s="5"/>
      <c r="C22" s="40"/>
      <c r="D22" s="6"/>
      <c r="E22" s="41"/>
      <c r="F22" s="5"/>
      <c r="G22" s="4"/>
    </row>
    <row r="23" spans="1:7" x14ac:dyDescent="0.2">
      <c r="A23" s="4"/>
      <c r="B23" s="5"/>
      <c r="C23" s="40"/>
      <c r="D23" s="6"/>
      <c r="E23" s="41"/>
      <c r="F23" s="5"/>
      <c r="G23" s="4"/>
    </row>
    <row r="24" spans="1:7" x14ac:dyDescent="0.2">
      <c r="B24" s="5"/>
      <c r="C24" s="40"/>
    </row>
    <row r="25" spans="1:7" x14ac:dyDescent="0.2">
      <c r="B25" s="5"/>
      <c r="C25" s="40"/>
    </row>
    <row r="26" spans="1:7" x14ac:dyDescent="0.2">
      <c r="B26" s="5"/>
      <c r="C26" s="40"/>
    </row>
    <row r="27" spans="1:7" x14ac:dyDescent="0.2">
      <c r="B27" s="5"/>
      <c r="C27" s="40"/>
    </row>
    <row r="28" spans="1:7" x14ac:dyDescent="0.2">
      <c r="B28" s="5"/>
      <c r="C28" s="40"/>
    </row>
    <row r="29" spans="1:7" x14ac:dyDescent="0.2">
      <c r="B29" s="5"/>
      <c r="C29" s="40"/>
    </row>
  </sheetData>
  <sortState ref="A8:D23">
    <sortCondition descending="1" ref="D8:D23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16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22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236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63</v>
      </c>
      <c r="C8" s="40">
        <v>4.280092592592593E-2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1</v>
      </c>
      <c r="B9" s="5" t="s">
        <v>66</v>
      </c>
      <c r="C9" s="40">
        <v>4.2696759259259261E-2</v>
      </c>
      <c r="D9" s="6">
        <f>INDEX('Points Summary'!$F$4:$F$672,G9)</f>
        <v>49.491108471830572</v>
      </c>
      <c r="E9" s="41" t="e">
        <f>(AVERAGE($D$8:$D$10)/100*AVERAGE($C$8:$C$10))/C9</f>
        <v>#N/A</v>
      </c>
      <c r="F9" s="5"/>
      <c r="G9" s="4">
        <f>MATCH(B9,'Points Summary'!$B$4:$B$673,0)</f>
        <v>18</v>
      </c>
    </row>
    <row r="10" spans="1:7" x14ac:dyDescent="0.2">
      <c r="A10" s="4">
        <v>2</v>
      </c>
      <c r="B10" s="5" t="s">
        <v>65</v>
      </c>
      <c r="C10" s="40">
        <v>4.3344907407407408E-2</v>
      </c>
      <c r="D10" s="6">
        <f>INDEX('Points Summary'!$F$4:$F$672,G10)</f>
        <v>51.598687384929619</v>
      </c>
      <c r="E10" s="41" t="e">
        <f>(AVERAGE($D$8:$D$10)/100*AVERAGE($C$8:$C$10))/C10</f>
        <v>#N/A</v>
      </c>
      <c r="F10" s="5"/>
      <c r="G10" s="4">
        <f>MATCH(B10,'Points Summary'!$B$4:$B$673,0)</f>
        <v>141</v>
      </c>
    </row>
    <row r="11" spans="1:7" x14ac:dyDescent="0.2">
      <c r="A11" s="4">
        <v>2</v>
      </c>
      <c r="B11" s="5" t="s">
        <v>64</v>
      </c>
      <c r="C11" s="40">
        <v>4.3541666666666666E-2</v>
      </c>
      <c r="D11" s="6">
        <f>INDEX('Points Summary'!$F$4:$F$672,G11)</f>
        <v>46.917507946651071</v>
      </c>
      <c r="E11" s="41" t="e">
        <f t="shared" ref="E11" si="0">(AVERAGE($D$8:$D$10)/100*AVERAGE($C$8:$C$10))/C11</f>
        <v>#N/A</v>
      </c>
      <c r="F11" s="5"/>
      <c r="G11" s="4">
        <f>MATCH(B11,'Points Summary'!$B$4:$B$673,0)</f>
        <v>6</v>
      </c>
    </row>
    <row r="12" spans="1:7" x14ac:dyDescent="0.2">
      <c r="A12" s="4">
        <v>1</v>
      </c>
      <c r="B12" s="5" t="s">
        <v>235</v>
      </c>
      <c r="C12" s="40">
        <v>5.545138888888889E-2</v>
      </c>
      <c r="D12" s="6">
        <f>INDEX('Points Summary'!$F$4:$F$672,G12)</f>
        <v>39.347281062858286</v>
      </c>
      <c r="E12" s="41" t="e">
        <f t="shared" ref="E12" si="1">(AVERAGE($D$8:$D$10)/100*AVERAGE($C$8:$C$10))/C12</f>
        <v>#N/A</v>
      </c>
      <c r="F12" s="5"/>
      <c r="G12" s="4">
        <f>MATCH(B12,'Points Summary'!$B$4:$B$673,0)</f>
        <v>103</v>
      </c>
    </row>
    <row r="13" spans="1:7" x14ac:dyDescent="0.2">
      <c r="A13" s="4"/>
      <c r="B13" s="5"/>
      <c r="C13" s="40"/>
      <c r="D13" s="6"/>
      <c r="E13" s="41"/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</sheetData>
  <sortState ref="A8:D12">
    <sortCondition descending="1" ref="D8:D12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23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234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63</v>
      </c>
      <c r="C8" s="40">
        <v>2.6944444444444441E-2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1</v>
      </c>
      <c r="B9" s="5" t="s">
        <v>66</v>
      </c>
      <c r="C9" s="40">
        <v>2.7222222222222228E-2</v>
      </c>
      <c r="D9" s="6">
        <f>INDEX('Points Summary'!$F$4:$F$672,G9)</f>
        <v>49.491108471830572</v>
      </c>
      <c r="E9" s="41" t="e">
        <f>(AVERAGE($D$8:$D$10)/100*AVERAGE($C$8:$C$10))/C9</f>
        <v>#N/A</v>
      </c>
      <c r="F9" s="5"/>
      <c r="G9" s="4">
        <f>MATCH(B9,'Points Summary'!$B$4:$B$673,0)</f>
        <v>18</v>
      </c>
    </row>
    <row r="10" spans="1:7" x14ac:dyDescent="0.2">
      <c r="A10" s="4">
        <v>2</v>
      </c>
      <c r="B10" s="5" t="s">
        <v>65</v>
      </c>
      <c r="C10" s="40">
        <v>3.0555555555555555E-2</v>
      </c>
      <c r="D10" s="6">
        <f>INDEX('Points Summary'!$F$4:$F$672,G10)</f>
        <v>51.598687384929619</v>
      </c>
      <c r="E10" s="41" t="e">
        <f>(AVERAGE($D$8:$D$10)/100*AVERAGE($C$8:$C$10))/C10</f>
        <v>#N/A</v>
      </c>
      <c r="F10" s="5"/>
      <c r="G10" s="4">
        <f>MATCH(B10,'Points Summary'!$B$4:$B$673,0)</f>
        <v>141</v>
      </c>
    </row>
    <row r="11" spans="1:7" x14ac:dyDescent="0.2">
      <c r="A11" s="4">
        <v>2</v>
      </c>
      <c r="B11" s="5" t="s">
        <v>64</v>
      </c>
      <c r="C11" s="40">
        <v>3.5671296296296298E-2</v>
      </c>
      <c r="D11" s="6">
        <f>INDEX('Points Summary'!$F$4:$F$672,G11)</f>
        <v>46.917507946651071</v>
      </c>
      <c r="E11" s="41" t="e">
        <f t="shared" ref="E11:E15" si="0">(AVERAGE($D$8:$D$10)/100*AVERAGE($C$8:$C$10))/C11</f>
        <v>#N/A</v>
      </c>
      <c r="F11" s="5"/>
      <c r="G11" s="4">
        <f>MATCH(B11,'Points Summary'!$B$4:$B$673,0)</f>
        <v>6</v>
      </c>
    </row>
    <row r="12" spans="1:7" x14ac:dyDescent="0.2">
      <c r="A12" s="4">
        <v>4</v>
      </c>
      <c r="B12" s="5" t="s">
        <v>219</v>
      </c>
      <c r="C12" s="40">
        <v>4.8287037037037038E-2</v>
      </c>
      <c r="D12" s="6" t="e">
        <f>INDEX('Points Summary'!$F$4:$F$672,G12)</f>
        <v>#N/A</v>
      </c>
      <c r="E12" s="41" t="e">
        <f t="shared" si="0"/>
        <v>#N/A</v>
      </c>
      <c r="F12" s="5"/>
      <c r="G12" s="4" t="e">
        <f>MATCH(B12,'Points Summary'!$B$4:$B$673,0)</f>
        <v>#N/A</v>
      </c>
    </row>
    <row r="13" spans="1:7" x14ac:dyDescent="0.2">
      <c r="A13" s="4">
        <v>1</v>
      </c>
      <c r="B13" s="5" t="s">
        <v>235</v>
      </c>
      <c r="C13" s="40">
        <v>3.3750000000000002E-2</v>
      </c>
      <c r="D13" s="6">
        <f>INDEX('Points Summary'!$F$4:$F$672,G13)</f>
        <v>39.347281062858286</v>
      </c>
      <c r="E13" s="41" t="e">
        <f t="shared" si="0"/>
        <v>#N/A</v>
      </c>
      <c r="F13" s="5"/>
      <c r="G13" s="4">
        <f>MATCH(B13,'Points Summary'!$B$4:$B$673,0)</f>
        <v>103</v>
      </c>
    </row>
    <row r="14" spans="1:7" x14ac:dyDescent="0.2">
      <c r="A14" s="4">
        <v>3</v>
      </c>
      <c r="B14" s="5" t="s">
        <v>237</v>
      </c>
      <c r="C14" s="40">
        <v>4.8194444444444449E-2</v>
      </c>
      <c r="D14" s="6" t="e">
        <f>INDEX('Points Summary'!$F$4:$F$672,G14)</f>
        <v>#N/A</v>
      </c>
      <c r="E14" s="41" t="e">
        <f t="shared" si="0"/>
        <v>#N/A</v>
      </c>
      <c r="F14" s="5"/>
      <c r="G14" s="4" t="e">
        <f>MATCH(B14,'Points Summary'!$B$4:$B$673,0)</f>
        <v>#N/A</v>
      </c>
    </row>
    <row r="15" spans="1:7" x14ac:dyDescent="0.2">
      <c r="A15" s="4">
        <v>5</v>
      </c>
      <c r="B15" s="5" t="s">
        <v>238</v>
      </c>
      <c r="C15" s="40">
        <v>6.3611111111111118E-2</v>
      </c>
      <c r="D15" s="6" t="e">
        <f>INDEX('Points Summary'!$F$4:$F$672,G15)</f>
        <v>#N/A</v>
      </c>
      <c r="E15" s="41" t="e">
        <f t="shared" si="0"/>
        <v>#N/A</v>
      </c>
      <c r="F15" s="5"/>
      <c r="G15" s="4" t="e">
        <f>MATCH(B15,'Points Summary'!$B$4:$B$673,0)</f>
        <v>#N/A</v>
      </c>
    </row>
    <row r="16" spans="1:7" x14ac:dyDescent="0.2">
      <c r="A16" s="4"/>
      <c r="B16" s="5"/>
      <c r="C16" s="40"/>
      <c r="D16" s="6"/>
      <c r="E16" s="41"/>
      <c r="F16" s="5"/>
      <c r="G16" s="4"/>
    </row>
    <row r="17" spans="1:7" x14ac:dyDescent="0.2">
      <c r="A17" s="4"/>
      <c r="B17" s="5"/>
      <c r="C17" s="40"/>
      <c r="D17" s="6"/>
      <c r="E17" s="41"/>
      <c r="F17" s="5"/>
      <c r="G17" s="4"/>
    </row>
    <row r="18" spans="1:7" x14ac:dyDescent="0.2">
      <c r="A18" s="4"/>
      <c r="B18" s="5"/>
      <c r="C18" s="40"/>
      <c r="D18" s="6"/>
      <c r="E18" s="41"/>
      <c r="F18" s="5"/>
      <c r="G18" s="4"/>
    </row>
    <row r="19" spans="1:7" x14ac:dyDescent="0.2">
      <c r="A19" s="4"/>
      <c r="B19" s="5"/>
      <c r="C19" s="40"/>
      <c r="D19" s="6"/>
      <c r="E19" s="41"/>
      <c r="F19" s="5"/>
      <c r="G19" s="4"/>
    </row>
    <row r="20" spans="1:7" x14ac:dyDescent="0.2">
      <c r="A20" s="4"/>
      <c r="B20" s="5"/>
      <c r="C20" s="40"/>
      <c r="D20" s="6"/>
      <c r="E20" s="41"/>
      <c r="F20" s="5"/>
      <c r="G20" s="4"/>
    </row>
    <row r="21" spans="1:7" x14ac:dyDescent="0.2">
      <c r="A21" s="4"/>
      <c r="B21" s="5"/>
      <c r="C21" s="40"/>
      <c r="D21" s="6"/>
      <c r="E21" s="41"/>
      <c r="F21" s="5"/>
      <c r="G21" s="4"/>
    </row>
    <row r="22" spans="1:7" x14ac:dyDescent="0.2">
      <c r="A22" s="4"/>
      <c r="B22" s="5"/>
      <c r="C22" s="40"/>
      <c r="D22" s="6"/>
      <c r="E22" s="41"/>
      <c r="F22" s="5"/>
      <c r="G22" s="4"/>
    </row>
    <row r="23" spans="1:7" x14ac:dyDescent="0.2">
      <c r="A23" s="4"/>
      <c r="B23" s="5"/>
      <c r="C23" s="40"/>
      <c r="D23" s="6"/>
      <c r="E23" s="41"/>
      <c r="F23" s="5"/>
      <c r="G23" s="4"/>
    </row>
  </sheetData>
  <sortState ref="A8:D15">
    <sortCondition descending="1" ref="D8:D15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21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236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63</v>
      </c>
      <c r="C8" s="40">
        <v>1.9733796296296298E-2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1</v>
      </c>
      <c r="B9" s="5" t="s">
        <v>66</v>
      </c>
      <c r="C9" s="40">
        <v>2.0983796296296296E-2</v>
      </c>
      <c r="D9" s="6">
        <f>INDEX('Points Summary'!$F$4:$F$672,G9)</f>
        <v>49.491108471830572</v>
      </c>
      <c r="E9" s="41" t="e">
        <f t="shared" ref="E9:E10" si="0">(AVERAGE($D$8:$D$10)/100*AVERAGE($C$8:$C$10))/C9</f>
        <v>#N/A</v>
      </c>
      <c r="F9" s="5"/>
      <c r="G9" s="4">
        <f>MATCH(B9,'Points Summary'!$B$4:$B$673,0)</f>
        <v>18</v>
      </c>
    </row>
    <row r="10" spans="1:7" x14ac:dyDescent="0.2">
      <c r="A10" s="4">
        <v>2</v>
      </c>
      <c r="B10" s="5" t="s">
        <v>65</v>
      </c>
      <c r="C10" s="40">
        <v>2.2048611111111113E-2</v>
      </c>
      <c r="D10" s="6">
        <f>INDEX('Points Summary'!$F$4:$F$672,G10)</f>
        <v>51.598687384929619</v>
      </c>
      <c r="E10" s="41" t="e">
        <f t="shared" si="0"/>
        <v>#N/A</v>
      </c>
      <c r="F10" s="5"/>
      <c r="G10" s="4">
        <f>MATCH(B10,'Points Summary'!$B$4:$B$673,0)</f>
        <v>141</v>
      </c>
    </row>
    <row r="11" spans="1:7" x14ac:dyDescent="0.2">
      <c r="A11" s="4"/>
      <c r="C11" s="40"/>
      <c r="D11" s="6"/>
      <c r="E11" s="41"/>
      <c r="F11" s="5"/>
      <c r="G11" s="4"/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C13" s="40"/>
      <c r="D13" s="6"/>
      <c r="E13" s="41"/>
      <c r="F13" s="5"/>
      <c r="G13" s="4"/>
    </row>
    <row r="14" spans="1:7" x14ac:dyDescent="0.2">
      <c r="A14" s="4"/>
      <c r="C14" s="40"/>
      <c r="D14" s="6"/>
      <c r="E14" s="41"/>
      <c r="F14" s="5"/>
      <c r="G14" s="4"/>
    </row>
    <row r="15" spans="1:7" x14ac:dyDescent="0.2">
      <c r="A15" s="4"/>
      <c r="C15" s="40"/>
      <c r="D15" s="6"/>
      <c r="E15" s="41"/>
      <c r="F15" s="5"/>
      <c r="G15" s="4"/>
    </row>
    <row r="16" spans="1:7" x14ac:dyDescent="0.2">
      <c r="A16" s="4"/>
      <c r="C16" s="40"/>
      <c r="D16" s="6"/>
      <c r="E16" s="41"/>
      <c r="F16" s="5"/>
      <c r="G16" s="4"/>
    </row>
    <row r="17" spans="1:7" x14ac:dyDescent="0.2">
      <c r="A17" s="4"/>
      <c r="C17" s="40"/>
      <c r="D17" s="6"/>
      <c r="E17" s="41"/>
      <c r="F17" s="5"/>
      <c r="G17" s="4"/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C19" s="40"/>
      <c r="D19" s="6"/>
      <c r="E19" s="41"/>
      <c r="F19" s="5"/>
      <c r="G19" s="4"/>
    </row>
    <row r="20" spans="1:7" x14ac:dyDescent="0.2">
      <c r="A20" s="4"/>
      <c r="B20" s="114"/>
      <c r="C20" s="40"/>
      <c r="D20" s="6"/>
      <c r="E20" s="41"/>
      <c r="F20" s="5"/>
      <c r="G20" s="4"/>
    </row>
    <row r="21" spans="1:7" x14ac:dyDescent="0.2">
      <c r="A21" s="4"/>
      <c r="B21" s="114"/>
      <c r="C21" s="40"/>
      <c r="D21" s="6"/>
      <c r="E21" s="41"/>
      <c r="F21" s="5"/>
      <c r="G21" s="4"/>
    </row>
  </sheetData>
  <sortState ref="A8:D19">
    <sortCondition descending="1" ref="D8:D19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2013 Race Points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G16"/>
  <sheetViews>
    <sheetView workbookViewId="0">
      <selection activeCell="B1" sqref="B1: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236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63</v>
      </c>
      <c r="C8" s="40">
        <v>2.4699074074074078E-2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1</v>
      </c>
      <c r="B9" s="5" t="s">
        <v>66</v>
      </c>
      <c r="C9" s="40">
        <v>2.6990740740740742E-2</v>
      </c>
      <c r="D9" s="6">
        <f>INDEX('Points Summary'!$F$4:$F$672,G9)</f>
        <v>49.491108471830572</v>
      </c>
      <c r="E9" s="41" t="e">
        <f t="shared" ref="E9:E11" si="0">(AVERAGE($D$8:$D$10)/100*AVERAGE($C$8:$C$10))/C9</f>
        <v>#N/A</v>
      </c>
      <c r="F9" s="5"/>
      <c r="G9" s="4">
        <f>MATCH(B9,'Points Summary'!$B$4:$B$673,0)</f>
        <v>18</v>
      </c>
    </row>
    <row r="10" spans="1:7" x14ac:dyDescent="0.2">
      <c r="A10" s="4">
        <v>2</v>
      </c>
      <c r="B10" s="5" t="s">
        <v>65</v>
      </c>
      <c r="C10" s="40">
        <v>2.8784722222222225E-2</v>
      </c>
      <c r="D10" s="6">
        <f>INDEX('Points Summary'!$F$4:$F$672,G10)</f>
        <v>51.598687384929619</v>
      </c>
      <c r="E10" s="41" t="e">
        <f t="shared" si="0"/>
        <v>#N/A</v>
      </c>
      <c r="F10" s="5"/>
      <c r="G10" s="4">
        <f>MATCH(B10,'Points Summary'!$B$4:$B$673,0)</f>
        <v>141</v>
      </c>
    </row>
    <row r="11" spans="1:7" x14ac:dyDescent="0.2">
      <c r="A11" s="4">
        <v>2</v>
      </c>
      <c r="B11" s="5" t="s">
        <v>239</v>
      </c>
      <c r="C11" s="40">
        <v>3.0289351851851855E-2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B13" s="5"/>
      <c r="C13" s="40"/>
      <c r="D13" s="6"/>
      <c r="E13" s="41"/>
      <c r="F13" s="5"/>
      <c r="G13" s="4"/>
    </row>
    <row r="14" spans="1:7" x14ac:dyDescent="0.2">
      <c r="A14" s="4"/>
      <c r="B14" s="5"/>
      <c r="C14" s="40"/>
      <c r="D14" s="6"/>
      <c r="E14" s="41"/>
      <c r="F14" s="5"/>
      <c r="G14" s="4"/>
    </row>
    <row r="15" spans="1:7" x14ac:dyDescent="0.2">
      <c r="A15" s="4"/>
      <c r="B15" s="5"/>
      <c r="C15" s="40"/>
      <c r="D15" s="6"/>
      <c r="E15" s="41"/>
      <c r="F15" s="5"/>
      <c r="G15" s="4"/>
    </row>
    <row r="16" spans="1:7" x14ac:dyDescent="0.2">
      <c r="A16" s="4"/>
      <c r="B16" s="5"/>
      <c r="C16" s="40"/>
      <c r="D16" s="6"/>
      <c r="E16" s="41"/>
      <c r="F16" s="5"/>
      <c r="G16" s="4"/>
    </row>
  </sheetData>
  <sortState ref="A8:E11">
    <sortCondition descending="1" ref="D8:D11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2014 Race Points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3"/>
  <sheetViews>
    <sheetView workbookViewId="0">
      <selection activeCell="B8" sqref="B8:B18"/>
    </sheetView>
  </sheetViews>
  <sheetFormatPr defaultRowHeight="12.75" x14ac:dyDescent="0.2"/>
  <cols>
    <col min="2" max="2" width="25.7109375" customWidth="1"/>
    <col min="3" max="7" width="9.7109375" customWidth="1"/>
  </cols>
  <sheetData>
    <row r="1" spans="1:12" x14ac:dyDescent="0.2">
      <c r="A1" s="29" t="s">
        <v>10</v>
      </c>
      <c r="B1" s="30" t="s">
        <v>343</v>
      </c>
      <c r="C1" s="31"/>
      <c r="D1" s="31"/>
      <c r="E1" s="31"/>
      <c r="F1" s="31"/>
      <c r="G1" s="32"/>
    </row>
    <row r="2" spans="1:12" x14ac:dyDescent="0.2">
      <c r="A2" s="33" t="s">
        <v>11</v>
      </c>
      <c r="B2" s="34">
        <v>43084</v>
      </c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344</v>
      </c>
      <c r="C5" s="35"/>
      <c r="D5" s="35"/>
      <c r="E5" s="35" t="s">
        <v>28</v>
      </c>
      <c r="F5" s="52">
        <f>AVERAGE(C8:C10)*(AVERAGE(D8:D10)/100)</f>
        <v>1.3259994806329651E-2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12" x14ac:dyDescent="0.2">
      <c r="A8" s="4">
        <v>2</v>
      </c>
      <c r="B8" s="5" t="s">
        <v>249</v>
      </c>
      <c r="C8" s="40">
        <v>1.4642361111111111E-2</v>
      </c>
      <c r="D8" s="6">
        <f>INDEX('Points Summary'!$H$4:$H$672,G8)</f>
        <v>93.765334327313028</v>
      </c>
      <c r="E8" s="67">
        <f t="shared" ref="E8:E18" si="0">(AVERAGE($D$8:$D$10)/100*AVERAGE($C$8:$C$10))/C8</f>
        <v>0.90559129813207007</v>
      </c>
      <c r="F8" s="5"/>
      <c r="G8" s="4">
        <f>MATCH(B8,'Points Summary'!$B$4:$B$673,0)</f>
        <v>106</v>
      </c>
      <c r="L8" s="40"/>
    </row>
    <row r="9" spans="1:12" x14ac:dyDescent="0.2">
      <c r="A9" s="4">
        <v>1</v>
      </c>
      <c r="B9" s="5" t="s">
        <v>216</v>
      </c>
      <c r="C9" s="40">
        <v>1.4207175925925923E-2</v>
      </c>
      <c r="D9" s="6">
        <f>INDEX('Points Summary'!$H$4:$H$672,G9)</f>
        <v>90.310789689595381</v>
      </c>
      <c r="E9" s="67">
        <f t="shared" si="0"/>
        <v>0.93333079532943553</v>
      </c>
      <c r="F9" s="5"/>
      <c r="G9" s="4">
        <f>MATCH(B9,'Points Summary'!$B$4:$B$673,0)</f>
        <v>101</v>
      </c>
      <c r="L9" s="40"/>
    </row>
    <row r="10" spans="1:12" x14ac:dyDescent="0.2">
      <c r="A10" s="115">
        <v>3</v>
      </c>
      <c r="B10" s="5" t="s">
        <v>215</v>
      </c>
      <c r="C10" s="40">
        <v>1.498611111111111E-2</v>
      </c>
      <c r="D10" s="6">
        <f>INDEX('Points Summary'!$H$4:$H$672,G10)</f>
        <v>88.167947414731699</v>
      </c>
      <c r="E10" s="67">
        <f t="shared" si="0"/>
        <v>0.88481893054284988</v>
      </c>
      <c r="F10" s="5"/>
      <c r="G10" s="115">
        <f>MATCH(B10,'Points Summary'!$B$4:$B$673,0)</f>
        <v>38</v>
      </c>
      <c r="L10" s="40"/>
    </row>
    <row r="11" spans="1:12" x14ac:dyDescent="0.2">
      <c r="A11" s="107">
        <v>6</v>
      </c>
      <c r="B11" s="5" t="s">
        <v>259</v>
      </c>
      <c r="C11" s="40">
        <v>1.5989583333333331E-2</v>
      </c>
      <c r="D11" s="6">
        <f>INDEX('Points Summary'!$H$4:$H$672,G11)</f>
        <v>84.895255654839019</v>
      </c>
      <c r="E11" s="67">
        <f t="shared" si="0"/>
        <v>0.8292895774642649</v>
      </c>
      <c r="F11" s="5"/>
      <c r="G11" s="115">
        <f>MATCH(B11,'Points Summary'!$B$4:$B$673,0)</f>
        <v>57</v>
      </c>
      <c r="L11" s="40"/>
    </row>
    <row r="12" spans="1:12" x14ac:dyDescent="0.2">
      <c r="A12" s="115">
        <v>4</v>
      </c>
      <c r="B12" s="5" t="s">
        <v>231</v>
      </c>
      <c r="C12" s="40">
        <v>1.5310185185185185E-2</v>
      </c>
      <c r="D12" s="6">
        <f>INDEX('Points Summary'!$H$4:$H$672,G12)</f>
        <v>83.324415222319843</v>
      </c>
      <c r="E12" s="67">
        <f t="shared" si="0"/>
        <v>0.86608977265412901</v>
      </c>
      <c r="F12" s="5"/>
      <c r="G12" s="115">
        <f>MATCH(B12,'Points Summary'!$B$4:$B$673,0)</f>
        <v>43</v>
      </c>
      <c r="L12" s="40"/>
    </row>
    <row r="13" spans="1:12" x14ac:dyDescent="0.2">
      <c r="A13" s="4">
        <v>8</v>
      </c>
      <c r="B13" s="5" t="s">
        <v>228</v>
      </c>
      <c r="C13" s="40">
        <v>1.6538194444444446E-2</v>
      </c>
      <c r="D13" s="6">
        <f>INDEX('Points Summary'!$H$4:$H$672,G13)</f>
        <v>78.993710558583317</v>
      </c>
      <c r="E13" s="67">
        <f t="shared" si="0"/>
        <v>0.80178007646922933</v>
      </c>
      <c r="F13" s="5"/>
      <c r="G13" s="4">
        <f>MATCH(B13,'Points Summary'!$B$4:$B$673,0)</f>
        <v>81</v>
      </c>
      <c r="L13" s="40"/>
    </row>
    <row r="14" spans="1:12" x14ac:dyDescent="0.2">
      <c r="A14" s="115">
        <v>7</v>
      </c>
      <c r="B14" s="35" t="s">
        <v>346</v>
      </c>
      <c r="C14" s="51">
        <v>1.6061342592592592E-2</v>
      </c>
      <c r="D14" s="293">
        <f>INDEX('Points Summary'!$H$4:$H$672,G14)</f>
        <v>73.541805346681699</v>
      </c>
      <c r="E14" s="294">
        <f t="shared" si="0"/>
        <v>0.8255844572075246</v>
      </c>
      <c r="F14" s="35"/>
      <c r="G14" s="115">
        <f>MATCH(B14,'Points Summary'!$B$4:$B$673,0)</f>
        <v>14</v>
      </c>
      <c r="L14" s="40"/>
    </row>
    <row r="15" spans="1:12" x14ac:dyDescent="0.2">
      <c r="A15" s="115">
        <v>9</v>
      </c>
      <c r="B15" s="5" t="s">
        <v>223</v>
      </c>
      <c r="C15" s="40">
        <v>1.6736111111111111E-2</v>
      </c>
      <c r="D15" s="6">
        <f>INDEX('Points Summary'!$H$4:$H$672,G15)</f>
        <v>72.034864861933698</v>
      </c>
      <c r="E15" s="67">
        <f t="shared" si="0"/>
        <v>0.79229844485953105</v>
      </c>
      <c r="F15" s="5"/>
      <c r="G15" s="115">
        <f>MATCH(B15,'Points Summary'!$B$4:$B$673,0)</f>
        <v>59</v>
      </c>
      <c r="L15" s="40"/>
    </row>
    <row r="16" spans="1:12" x14ac:dyDescent="0.2">
      <c r="A16" s="115">
        <v>11</v>
      </c>
      <c r="B16" s="35" t="s">
        <v>311</v>
      </c>
      <c r="C16" s="51">
        <v>2.3730324074074074E-2</v>
      </c>
      <c r="D16" s="293">
        <f>INDEX('Points Summary'!$H$4:$H$672,G16)</f>
        <v>43.718422824106256</v>
      </c>
      <c r="E16" s="294">
        <f t="shared" si="0"/>
        <v>0.55877849644777933</v>
      </c>
      <c r="F16" s="35"/>
      <c r="G16" s="115">
        <f>MATCH(B16,'Points Summary'!$B$4:$B$673,0)</f>
        <v>63</v>
      </c>
      <c r="L16" s="40"/>
    </row>
    <row r="17" spans="1:12" x14ac:dyDescent="0.2">
      <c r="A17" s="4">
        <v>5</v>
      </c>
      <c r="B17" s="5" t="s">
        <v>345</v>
      </c>
      <c r="C17" s="40">
        <v>1.5334490740740741E-2</v>
      </c>
      <c r="D17" s="6">
        <f>INDEX('Points Summary'!$H$4:$H$672,G17)</f>
        <v>0</v>
      </c>
      <c r="E17" s="67">
        <f t="shared" si="0"/>
        <v>0.86471699846545547</v>
      </c>
      <c r="F17" s="5"/>
      <c r="G17" s="4">
        <f>MATCH(B17,'Points Summary'!$B$4:$B$673,0)</f>
        <v>71</v>
      </c>
      <c r="L17" s="40"/>
    </row>
    <row r="18" spans="1:12" x14ac:dyDescent="0.2">
      <c r="A18" s="4">
        <v>10</v>
      </c>
      <c r="B18" s="5" t="s">
        <v>347</v>
      </c>
      <c r="C18" s="40">
        <v>1.6921296296296299E-2</v>
      </c>
      <c r="D18" s="6">
        <f>INDEX('Points Summary'!$H$4:$H$672,G18)</f>
        <v>0</v>
      </c>
      <c r="E18" s="67">
        <f t="shared" si="0"/>
        <v>0.78362760004574672</v>
      </c>
      <c r="F18" s="5"/>
      <c r="G18" s="4">
        <f>MATCH(B18,'Points Summary'!$B$4:$B$673,0)</f>
        <v>128</v>
      </c>
      <c r="L18" s="40"/>
    </row>
    <row r="19" spans="1:12" x14ac:dyDescent="0.2">
      <c r="B19" s="5"/>
      <c r="C19" s="40"/>
      <c r="D19" s="6"/>
      <c r="E19" s="41"/>
      <c r="F19" s="5"/>
      <c r="G19" s="4"/>
      <c r="L19" s="40"/>
    </row>
    <row r="20" spans="1:12" x14ac:dyDescent="0.2">
      <c r="B20" s="5"/>
      <c r="C20" s="40"/>
      <c r="D20" s="6"/>
      <c r="E20" s="41"/>
      <c r="F20" s="5"/>
      <c r="G20" s="4"/>
      <c r="L20" s="40"/>
    </row>
    <row r="21" spans="1:12" x14ac:dyDescent="0.2">
      <c r="B21" s="5"/>
      <c r="C21" s="40"/>
      <c r="D21" s="6"/>
      <c r="E21" s="41"/>
      <c r="F21" s="5"/>
      <c r="G21" s="4"/>
      <c r="L21" s="40"/>
    </row>
    <row r="22" spans="1:12" x14ac:dyDescent="0.2">
      <c r="D22" s="6"/>
      <c r="E22" s="41"/>
      <c r="F22" s="5"/>
      <c r="G22" s="4"/>
      <c r="L22" s="40"/>
    </row>
    <row r="23" spans="1:12" x14ac:dyDescent="0.2">
      <c r="L23" s="40"/>
    </row>
    <row r="24" spans="1:12" x14ac:dyDescent="0.2">
      <c r="L24" s="40"/>
    </row>
    <row r="25" spans="1:12" x14ac:dyDescent="0.2">
      <c r="L25" s="40"/>
    </row>
    <row r="26" spans="1:12" x14ac:dyDescent="0.2">
      <c r="L26" s="40"/>
    </row>
    <row r="27" spans="1:12" x14ac:dyDescent="0.2">
      <c r="L27" s="40"/>
    </row>
    <row r="28" spans="1:12" x14ac:dyDescent="0.2">
      <c r="L28" s="40"/>
    </row>
    <row r="29" spans="1:12" x14ac:dyDescent="0.2">
      <c r="L29" s="40"/>
    </row>
    <row r="30" spans="1:12" x14ac:dyDescent="0.2">
      <c r="L30" s="40"/>
    </row>
    <row r="31" spans="1:12" x14ac:dyDescent="0.2">
      <c r="L31" s="40"/>
    </row>
    <row r="32" spans="1:12" x14ac:dyDescent="0.2">
      <c r="L32" s="40"/>
    </row>
    <row r="33" spans="12:12" x14ac:dyDescent="0.2">
      <c r="L33" s="40"/>
    </row>
  </sheetData>
  <sortState ref="A8:G18">
    <sortCondition descending="1" ref="D8:D18"/>
  </sortState>
  <phoneticPr fontId="0" type="noConversion"/>
  <printOptions horizontalCentered="1"/>
  <pageMargins left="0.75" right="0.75" top="1" bottom="1" header="0.5" footer="0.5"/>
  <pageSetup orientation="portrait" horizontalDpi="4294967292" verticalDpi="1200" r:id="rId1"/>
  <headerFooter alignWithMargins="0">
    <oddHeader>&amp;L&amp;"Tahoma,Bold"&amp;11U.S. Biathlon Association&amp;R&amp;"Tahoma,Bold"&amp;11 2018
Race Points Calculation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L9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12" x14ac:dyDescent="0.2">
      <c r="A1" s="29" t="s">
        <v>10</v>
      </c>
      <c r="B1" s="30"/>
      <c r="C1" s="31"/>
      <c r="D1" s="31"/>
      <c r="E1" s="31"/>
      <c r="F1" s="31"/>
      <c r="G1" s="32"/>
    </row>
    <row r="2" spans="1:12" x14ac:dyDescent="0.2">
      <c r="A2" s="33" t="s">
        <v>11</v>
      </c>
      <c r="B2" s="34"/>
      <c r="C2" s="35"/>
      <c r="D2" s="35"/>
      <c r="E2" s="35"/>
      <c r="F2" s="35"/>
      <c r="G2" s="36"/>
    </row>
    <row r="3" spans="1:12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12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12" x14ac:dyDescent="0.2">
      <c r="A5" s="33" t="s">
        <v>14</v>
      </c>
      <c r="B5" s="37" t="s">
        <v>97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12" x14ac:dyDescent="0.2">
      <c r="A6" s="38" t="s">
        <v>15</v>
      </c>
      <c r="B6" s="28"/>
      <c r="C6" s="28"/>
      <c r="D6" s="28"/>
      <c r="E6" s="28"/>
      <c r="F6" s="28"/>
      <c r="G6" s="39"/>
    </row>
    <row r="7" spans="1:12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  <c r="J7" s="116" t="s">
        <v>68</v>
      </c>
      <c r="K7" s="116" t="s">
        <v>69</v>
      </c>
      <c r="L7" s="116" t="s">
        <v>70</v>
      </c>
    </row>
    <row r="8" spans="1:12" x14ac:dyDescent="0.2">
      <c r="A8" s="4">
        <v>9</v>
      </c>
      <c r="B8" s="5" t="s">
        <v>58</v>
      </c>
      <c r="C8" s="40">
        <v>2.3339120370370371E-2</v>
      </c>
      <c r="D8" s="6">
        <f>INDEX('Points Summary'!$F$4:$F$672,G8)</f>
        <v>99.28871437032133</v>
      </c>
      <c r="E8" s="41" t="e">
        <f>(AVERAGE($D$8:$D$9)/100*AVERAGE($C$8:$C$9))/C8</f>
        <v>#N/A</v>
      </c>
      <c r="F8" s="5"/>
      <c r="G8" s="4">
        <f>MATCH(B8,'Points Summary'!$B$4:$B$673,0)</f>
        <v>41</v>
      </c>
      <c r="J8" s="40">
        <v>2.4069444444444445E-2</v>
      </c>
      <c r="K8" s="40">
        <v>7.303240740740741E-4</v>
      </c>
      <c r="L8" s="40">
        <f>J8-K8</f>
        <v>2.3339120370370371E-2</v>
      </c>
    </row>
    <row r="9" spans="1:12" x14ac:dyDescent="0.2">
      <c r="A9" s="4">
        <v>37</v>
      </c>
      <c r="B9" s="5" t="s">
        <v>53</v>
      </c>
      <c r="C9" s="40">
        <v>2.5697916666666671E-2</v>
      </c>
      <c r="D9" s="6" t="e">
        <f>INDEX('Points Summary'!$F$4:$F$672,G9)</f>
        <v>#N/A</v>
      </c>
      <c r="E9" s="41" t="e">
        <f>(AVERAGE($D$8:$D$9)/100*AVERAGE($C$8:$C$9))/C9</f>
        <v>#N/A</v>
      </c>
      <c r="F9" s="5"/>
      <c r="G9" s="4" t="e">
        <f>MATCH(B9,'Points Summary'!$B$4:$B$673,0)</f>
        <v>#N/A</v>
      </c>
      <c r="J9" s="40">
        <v>2.7434027777777783E-2</v>
      </c>
      <c r="K9" s="40">
        <v>1.736111111111111E-3</v>
      </c>
      <c r="L9" s="40">
        <f>J9-K9</f>
        <v>2.5697916666666671E-2</v>
      </c>
    </row>
  </sheetData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G19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56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71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164" t="s">
        <v>101</v>
      </c>
      <c r="C8" s="40">
        <v>2.1693229166666661E-2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2</v>
      </c>
      <c r="B9" s="165" t="s">
        <v>99</v>
      </c>
      <c r="C9" s="40">
        <v>2.4398148148148169E-2</v>
      </c>
      <c r="D9" s="6" t="e">
        <f>INDEX('Points Summary'!$F$4:$F$672,G9)</f>
        <v>#N/A</v>
      </c>
      <c r="E9" s="41" t="e">
        <f t="shared" ref="E9:E17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3</v>
      </c>
      <c r="B10" s="164" t="s">
        <v>100</v>
      </c>
      <c r="C10" s="40">
        <v>2.4401620370370358E-2</v>
      </c>
      <c r="D10" s="6" t="e">
        <f>INDEX('Points Summary'!$F$4:$F$672,G10)</f>
        <v>#N/A</v>
      </c>
      <c r="E10" s="41" t="e">
        <f t="shared" si="0"/>
        <v>#N/A</v>
      </c>
      <c r="F10" s="5"/>
      <c r="G10" s="4" t="e">
        <f>MATCH(B10,'Points Summary'!$B$4:$B$673,0)</f>
        <v>#N/A</v>
      </c>
    </row>
    <row r="11" spans="1:7" x14ac:dyDescent="0.2">
      <c r="A11" s="4">
        <v>1</v>
      </c>
      <c r="B11" s="164" t="s">
        <v>86</v>
      </c>
      <c r="C11" s="40">
        <v>2.6717893518518498E-2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>
        <v>2</v>
      </c>
      <c r="B12" s="165" t="s">
        <v>102</v>
      </c>
      <c r="C12" s="40">
        <v>2.7599537037037047E-2</v>
      </c>
      <c r="D12" s="6" t="e">
        <f>INDEX('Points Summary'!$F$4:$F$672,G12)</f>
        <v>#N/A</v>
      </c>
      <c r="E12" s="41" t="e">
        <f t="shared" si="0"/>
        <v>#N/A</v>
      </c>
      <c r="F12" s="5"/>
      <c r="G12" s="4" t="e">
        <f>MATCH(B12,'Points Summary'!$B$4:$B$673,0)</f>
        <v>#N/A</v>
      </c>
    </row>
    <row r="13" spans="1:7" x14ac:dyDescent="0.2">
      <c r="A13" s="4">
        <v>4</v>
      </c>
      <c r="B13" s="5" t="s">
        <v>67</v>
      </c>
      <c r="C13" s="40">
        <v>2.9616608796296295E-2</v>
      </c>
      <c r="D13" s="6" t="e">
        <f>INDEX('Points Summary'!$F$4:$F$672,G13)</f>
        <v>#N/A</v>
      </c>
      <c r="E13" s="41" t="e">
        <f t="shared" si="0"/>
        <v>#N/A</v>
      </c>
      <c r="F13" s="5"/>
      <c r="G13" s="4" t="e">
        <f>MATCH(B13,'Points Summary'!$B$4:$B$673,0)</f>
        <v>#N/A</v>
      </c>
    </row>
    <row r="14" spans="1:7" x14ac:dyDescent="0.2">
      <c r="A14" s="4">
        <v>3</v>
      </c>
      <c r="B14" s="165" t="s">
        <v>103</v>
      </c>
      <c r="C14" s="40">
        <v>3.2120960648148122E-2</v>
      </c>
      <c r="D14" s="6">
        <f>INDEX('Points Summary'!$F$4:$F$672,G14)</f>
        <v>68.83916201810105</v>
      </c>
      <c r="E14" s="41" t="e">
        <f t="shared" si="0"/>
        <v>#N/A</v>
      </c>
      <c r="F14" s="5"/>
      <c r="G14" s="4">
        <f>MATCH(B14,'Points Summary'!$B$4:$B$673,0)</f>
        <v>70</v>
      </c>
    </row>
    <row r="15" spans="1:7" x14ac:dyDescent="0.2">
      <c r="A15" s="4">
        <v>4</v>
      </c>
      <c r="B15" s="164" t="s">
        <v>87</v>
      </c>
      <c r="C15" s="40">
        <v>3.453027777777784E-2</v>
      </c>
      <c r="D15" s="6" t="e">
        <f>INDEX('Points Summary'!$F$4:$F$672,G15)</f>
        <v>#N/A</v>
      </c>
      <c r="E15" s="41" t="e">
        <f t="shared" si="0"/>
        <v>#N/A</v>
      </c>
      <c r="F15" s="5"/>
      <c r="G15" s="4" t="e">
        <f>MATCH(B15,'Points Summary'!$B$4:$B$673,0)</f>
        <v>#N/A</v>
      </c>
    </row>
    <row r="16" spans="1:7" x14ac:dyDescent="0.2">
      <c r="A16" s="4">
        <v>5</v>
      </c>
      <c r="B16" s="164" t="s">
        <v>98</v>
      </c>
      <c r="C16" s="40">
        <v>2.9962974537037057E-2</v>
      </c>
      <c r="D16" s="6" t="e">
        <f>INDEX('Points Summary'!$F$4:$F$672,G16)</f>
        <v>#N/A</v>
      </c>
      <c r="E16" s="41" t="e">
        <f t="shared" si="0"/>
        <v>#N/A</v>
      </c>
      <c r="F16" s="5"/>
      <c r="G16" s="4" t="e">
        <f>MATCH(B16,'Points Summary'!$B$4:$B$673,0)</f>
        <v>#N/A</v>
      </c>
    </row>
    <row r="17" spans="1:7" x14ac:dyDescent="0.2">
      <c r="A17" s="4">
        <v>6</v>
      </c>
      <c r="B17" s="165" t="s">
        <v>85</v>
      </c>
      <c r="C17" s="40">
        <v>3.4114247685185228E-2</v>
      </c>
      <c r="D17" s="6" t="e">
        <f>INDEX('Points Summary'!$F$4:$F$672,G17)</f>
        <v>#N/A</v>
      </c>
      <c r="E17" s="41" t="e">
        <f t="shared" si="0"/>
        <v>#N/A</v>
      </c>
      <c r="F17" s="5"/>
      <c r="G17" s="4" t="e">
        <f>MATCH(B17,'Points Summary'!$B$4:$B$673,0)</f>
        <v>#N/A</v>
      </c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C19" s="40"/>
      <c r="D19" s="6"/>
      <c r="E19" s="41"/>
      <c r="F19" s="5"/>
      <c r="G19" s="4"/>
    </row>
  </sheetData>
  <sortState ref="A8:D17">
    <sortCondition descending="1" ref="D8:D17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21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76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71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4</v>
      </c>
      <c r="B8" s="42" t="s">
        <v>75</v>
      </c>
      <c r="C8" s="40">
        <v>1.9895833333333279E-2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1</v>
      </c>
      <c r="B9" s="164" t="s">
        <v>88</v>
      </c>
      <c r="C9" s="40">
        <v>1.9094074074074041E-2</v>
      </c>
      <c r="D9" s="6" t="e">
        <f>INDEX('Points Summary'!$F$4:$F$672,G9)</f>
        <v>#N/A</v>
      </c>
      <c r="E9" s="41" t="e">
        <f t="shared" ref="E9:E19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3</v>
      </c>
      <c r="B10" s="165" t="s">
        <v>83</v>
      </c>
      <c r="C10" s="40">
        <v>2.6226851851851918E-2</v>
      </c>
      <c r="D10" s="6">
        <f>INDEX('Points Summary'!$F$4:$F$672,G10)</f>
        <v>46.917507946651071</v>
      </c>
      <c r="E10" s="41" t="e">
        <f t="shared" si="0"/>
        <v>#N/A</v>
      </c>
      <c r="F10" s="5"/>
      <c r="G10" s="4">
        <f>MATCH(B10,'Points Summary'!$B$4:$B$673,0)</f>
        <v>6</v>
      </c>
    </row>
    <row r="11" spans="1:7" x14ac:dyDescent="0.2">
      <c r="A11" s="4">
        <v>3</v>
      </c>
      <c r="B11" s="165" t="s">
        <v>90</v>
      </c>
      <c r="C11" s="40">
        <v>1.9659884259259242E-2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>
        <v>2</v>
      </c>
      <c r="B12" s="165" t="s">
        <v>92</v>
      </c>
      <c r="C12" s="40">
        <v>1.9103449074074075E-2</v>
      </c>
      <c r="D12" s="6" t="e">
        <f>INDEX('Points Summary'!$F$4:$F$672,G12)</f>
        <v>#N/A</v>
      </c>
      <c r="E12" s="41" t="e">
        <f t="shared" si="0"/>
        <v>#N/A</v>
      </c>
      <c r="F12" s="5"/>
      <c r="G12" s="4" t="e">
        <f>MATCH(B12,'Points Summary'!$B$4:$B$673,0)</f>
        <v>#N/A</v>
      </c>
    </row>
    <row r="13" spans="1:7" x14ac:dyDescent="0.2">
      <c r="A13" s="4">
        <v>5</v>
      </c>
      <c r="B13" s="5" t="s">
        <v>89</v>
      </c>
      <c r="C13" s="40">
        <v>2.3009259259259229E-2</v>
      </c>
      <c r="D13" s="6" t="e">
        <f>INDEX('Points Summary'!$F$4:$F$672,G13)</f>
        <v>#N/A</v>
      </c>
      <c r="E13" s="41" t="e">
        <f t="shared" si="0"/>
        <v>#N/A</v>
      </c>
      <c r="F13" s="5"/>
      <c r="G13" s="4" t="e">
        <f>MATCH(B13,'Points Summary'!$B$4:$B$673,0)</f>
        <v>#N/A</v>
      </c>
    </row>
    <row r="14" spans="1:7" x14ac:dyDescent="0.2">
      <c r="A14" s="4">
        <v>1</v>
      </c>
      <c r="B14" t="s">
        <v>104</v>
      </c>
      <c r="C14" s="40">
        <v>2.4220277777777743E-2</v>
      </c>
      <c r="D14" s="6" t="e">
        <f>INDEX('Points Summary'!$F$4:$F$672,G14)</f>
        <v>#N/A</v>
      </c>
      <c r="E14" s="41" t="e">
        <f t="shared" si="0"/>
        <v>#N/A</v>
      </c>
      <c r="F14" s="5"/>
      <c r="G14" s="4" t="e">
        <f>MATCH(B14,'Points Summary'!$B$4:$B$673,0)</f>
        <v>#N/A</v>
      </c>
    </row>
    <row r="15" spans="1:7" x14ac:dyDescent="0.2">
      <c r="A15" s="4">
        <v>1</v>
      </c>
      <c r="B15" s="164" t="s">
        <v>96</v>
      </c>
      <c r="C15" s="40">
        <v>2.4155092592592631E-2</v>
      </c>
      <c r="D15" s="6">
        <f>INDEX('Points Summary'!$F$4:$F$672,G15)</f>
        <v>0</v>
      </c>
      <c r="E15" s="41" t="e">
        <f t="shared" si="0"/>
        <v>#N/A</v>
      </c>
      <c r="F15" s="5"/>
      <c r="G15" s="4">
        <f>MATCH(B15,'Points Summary'!$B$4:$B$673,0)</f>
        <v>102</v>
      </c>
    </row>
    <row r="16" spans="1:7" x14ac:dyDescent="0.2">
      <c r="A16" s="4">
        <v>2</v>
      </c>
      <c r="B16" t="s">
        <v>105</v>
      </c>
      <c r="C16" s="40">
        <v>2.9687499999999978E-2</v>
      </c>
      <c r="D16" s="6" t="e">
        <f>INDEX('Points Summary'!$F$4:$F$672,G16)</f>
        <v>#N/A</v>
      </c>
      <c r="E16" s="41" t="e">
        <f t="shared" si="0"/>
        <v>#N/A</v>
      </c>
      <c r="F16" s="5"/>
      <c r="G16" s="4" t="e">
        <f>MATCH(B16,'Points Summary'!$B$4:$B$673,0)</f>
        <v>#N/A</v>
      </c>
    </row>
    <row r="17" spans="1:7" x14ac:dyDescent="0.2">
      <c r="A17" s="4">
        <v>6</v>
      </c>
      <c r="B17" s="165" t="s">
        <v>91</v>
      </c>
      <c r="C17" s="40">
        <v>2.3323472222222197E-2</v>
      </c>
      <c r="D17" s="6" t="e">
        <f>INDEX('Points Summary'!$F$4:$F$672,G17)</f>
        <v>#N/A</v>
      </c>
      <c r="E17" s="41" t="e">
        <f t="shared" si="0"/>
        <v>#N/A</v>
      </c>
      <c r="F17" s="5"/>
      <c r="G17" s="4" t="e">
        <f>MATCH(B17,'Points Summary'!$B$4:$B$673,0)</f>
        <v>#N/A</v>
      </c>
    </row>
    <row r="18" spans="1:7" x14ac:dyDescent="0.2">
      <c r="A18" s="4">
        <v>2</v>
      </c>
      <c r="B18" s="165" t="s">
        <v>93</v>
      </c>
      <c r="C18" s="40">
        <v>2.4376435185185175E-2</v>
      </c>
      <c r="D18" s="6" t="e">
        <f>INDEX('Points Summary'!$F$4:$F$672,G18)</f>
        <v>#N/A</v>
      </c>
      <c r="E18" s="41" t="e">
        <f t="shared" si="0"/>
        <v>#N/A</v>
      </c>
      <c r="F18" s="5"/>
      <c r="G18" s="4" t="e">
        <f>MATCH(B18,'Points Summary'!$B$4:$B$673,0)</f>
        <v>#N/A</v>
      </c>
    </row>
    <row r="19" spans="1:7" x14ac:dyDescent="0.2">
      <c r="A19" s="4">
        <v>4</v>
      </c>
      <c r="B19" s="164" t="s">
        <v>95</v>
      </c>
      <c r="C19" s="40">
        <v>2.6446759259259323E-2</v>
      </c>
      <c r="D19" s="6">
        <f>INDEX('Points Summary'!$F$4:$F$672,G19)</f>
        <v>50.70676238380927</v>
      </c>
      <c r="E19" s="41" t="e">
        <f t="shared" si="0"/>
        <v>#N/A</v>
      </c>
      <c r="F19" s="5"/>
      <c r="G19" s="4">
        <f>MATCH(B19,'Points Summary'!$B$4:$B$673,0)</f>
        <v>115</v>
      </c>
    </row>
    <row r="20" spans="1:7" x14ac:dyDescent="0.2">
      <c r="A20" s="4">
        <v>5</v>
      </c>
      <c r="B20" s="164" t="s">
        <v>94</v>
      </c>
      <c r="C20" s="40">
        <v>2.7002314814814854E-2</v>
      </c>
      <c r="D20" s="6">
        <f>INDEX('Points Summary'!$F$4:$F$672,G20)</f>
        <v>49.491108471830572</v>
      </c>
      <c r="E20" s="41" t="e">
        <f t="shared" ref="E20" si="1">(AVERAGE($D$8:$D$10)/100*AVERAGE($C$8:$C$10))/C20</f>
        <v>#N/A</v>
      </c>
      <c r="F20" s="5"/>
      <c r="G20" s="4">
        <f>MATCH(B20,'Points Summary'!$B$4:$B$673,0)</f>
        <v>18</v>
      </c>
    </row>
    <row r="21" spans="1:7" x14ac:dyDescent="0.2">
      <c r="A21" s="4"/>
      <c r="D21" s="6"/>
      <c r="E21" s="41"/>
      <c r="F21" s="5"/>
      <c r="G21" s="4"/>
    </row>
  </sheetData>
  <sortState ref="A8:D20">
    <sortCondition descending="1" ref="D8:D20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G18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56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71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164" t="s">
        <v>101</v>
      </c>
      <c r="C8" s="40">
        <v>2.9085856481481487E-2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2</v>
      </c>
      <c r="B9" s="165" t="s">
        <v>99</v>
      </c>
      <c r="C9" s="40">
        <v>3.0276516203703696E-2</v>
      </c>
      <c r="D9" s="6" t="e">
        <f>INDEX('Points Summary'!$F$4:$F$672,G9)</f>
        <v>#N/A</v>
      </c>
      <c r="E9" s="41" t="e">
        <f t="shared" ref="E9:E17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3</v>
      </c>
      <c r="B10" s="164" t="s">
        <v>100</v>
      </c>
      <c r="C10" s="40">
        <v>3.0936192129629614E-2</v>
      </c>
      <c r="D10" s="6" t="e">
        <f>INDEX('Points Summary'!$F$4:$F$672,G10)</f>
        <v>#N/A</v>
      </c>
      <c r="E10" s="41" t="e">
        <f t="shared" si="0"/>
        <v>#N/A</v>
      </c>
      <c r="F10" s="5"/>
      <c r="G10" s="4" t="e">
        <f>MATCH(B10,'Points Summary'!$B$4:$B$673,0)</f>
        <v>#N/A</v>
      </c>
    </row>
    <row r="11" spans="1:7" x14ac:dyDescent="0.2">
      <c r="A11" s="4">
        <v>1</v>
      </c>
      <c r="B11" s="164" t="s">
        <v>86</v>
      </c>
      <c r="C11" s="40">
        <v>3.3819259259259216E-2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>
        <v>3</v>
      </c>
      <c r="B12" s="165" t="s">
        <v>106</v>
      </c>
      <c r="C12" s="40">
        <v>3.8683078703703688E-2</v>
      </c>
      <c r="D12" s="6" t="e">
        <f>INDEX('Points Summary'!$F$4:$F$672,G12)</f>
        <v>#N/A</v>
      </c>
      <c r="E12" s="41" t="e">
        <f t="shared" si="0"/>
        <v>#N/A</v>
      </c>
      <c r="F12" s="5"/>
      <c r="G12" s="4" t="e">
        <f>MATCH(B12,'Points Summary'!$B$4:$B$673,0)</f>
        <v>#N/A</v>
      </c>
    </row>
    <row r="13" spans="1:7" x14ac:dyDescent="0.2">
      <c r="A13" s="4">
        <v>2</v>
      </c>
      <c r="B13" s="165" t="s">
        <v>102</v>
      </c>
      <c r="C13" s="40">
        <v>3.7366412037037056E-2</v>
      </c>
      <c r="D13" s="6" t="e">
        <f>INDEX('Points Summary'!$F$4:$F$672,G13)</f>
        <v>#N/A</v>
      </c>
      <c r="E13" s="41" t="e">
        <f t="shared" si="0"/>
        <v>#N/A</v>
      </c>
      <c r="F13" s="5"/>
      <c r="G13" s="4" t="e">
        <f>MATCH(B13,'Points Summary'!$B$4:$B$673,0)</f>
        <v>#N/A</v>
      </c>
    </row>
    <row r="14" spans="1:7" x14ac:dyDescent="0.2">
      <c r="A14" s="4">
        <v>5</v>
      </c>
      <c r="B14" s="164" t="s">
        <v>82</v>
      </c>
      <c r="C14" s="40">
        <v>3.6820891203703687E-2</v>
      </c>
      <c r="D14" s="6" t="e">
        <f>INDEX('Points Summary'!$F$4:$F$672,G14)</f>
        <v>#N/A</v>
      </c>
      <c r="E14" s="41" t="e">
        <f t="shared" si="0"/>
        <v>#N/A</v>
      </c>
      <c r="F14" s="5"/>
      <c r="G14" s="4" t="e">
        <f>MATCH(B14,'Points Summary'!$B$4:$B$673,0)</f>
        <v>#N/A</v>
      </c>
    </row>
    <row r="15" spans="1:7" x14ac:dyDescent="0.2">
      <c r="A15" s="4">
        <v>4</v>
      </c>
      <c r="B15" s="165" t="s">
        <v>103</v>
      </c>
      <c r="C15" s="40">
        <v>4.1954479166666614E-2</v>
      </c>
      <c r="D15" s="6">
        <f>INDEX('Points Summary'!$F$4:$F$672,G15)</f>
        <v>68.83916201810105</v>
      </c>
      <c r="E15" s="41" t="e">
        <f t="shared" si="0"/>
        <v>#N/A</v>
      </c>
      <c r="F15" s="5"/>
      <c r="G15" s="4">
        <f>MATCH(B15,'Points Summary'!$B$4:$B$673,0)</f>
        <v>70</v>
      </c>
    </row>
    <row r="16" spans="1:7" x14ac:dyDescent="0.2">
      <c r="A16" s="4">
        <v>5</v>
      </c>
      <c r="B16" s="164" t="s">
        <v>87</v>
      </c>
      <c r="C16" s="40">
        <v>4.5515081018518477E-2</v>
      </c>
      <c r="D16" s="6" t="e">
        <f>INDEX('Points Summary'!$F$4:$F$672,G16)</f>
        <v>#N/A</v>
      </c>
      <c r="E16" s="41" t="e">
        <f t="shared" si="0"/>
        <v>#N/A</v>
      </c>
      <c r="F16" s="5"/>
      <c r="G16" s="4" t="e">
        <f>MATCH(B16,'Points Summary'!$B$4:$B$673,0)</f>
        <v>#N/A</v>
      </c>
    </row>
    <row r="17" spans="1:7" x14ac:dyDescent="0.2">
      <c r="A17" s="4">
        <v>4</v>
      </c>
      <c r="B17" s="164" t="s">
        <v>98</v>
      </c>
      <c r="C17" s="40">
        <v>3.5870601851851869E-2</v>
      </c>
      <c r="D17" s="6" t="e">
        <f>INDEX('Points Summary'!$F$4:$F$672,G17)</f>
        <v>#N/A</v>
      </c>
      <c r="E17" s="41" t="e">
        <f t="shared" si="0"/>
        <v>#N/A</v>
      </c>
      <c r="F17" s="5"/>
      <c r="G17" s="4" t="e">
        <f>MATCH(B17,'Points Summary'!$B$4:$B$673,0)</f>
        <v>#N/A</v>
      </c>
    </row>
    <row r="18" spans="1:7" x14ac:dyDescent="0.2">
      <c r="A18" s="4">
        <v>6</v>
      </c>
      <c r="B18" s="165" t="s">
        <v>85</v>
      </c>
      <c r="C18" s="40">
        <v>3.9888298611111095E-2</v>
      </c>
      <c r="D18" s="6" t="e">
        <f>INDEX('Points Summary'!$F$4:$F$672,G18)</f>
        <v>#N/A</v>
      </c>
      <c r="E18" s="41" t="e">
        <f t="shared" ref="E18" si="1">(AVERAGE($D$8:$D$10)/100*AVERAGE($C$8:$C$10))/C18</f>
        <v>#N/A</v>
      </c>
      <c r="F18" s="5"/>
      <c r="G18" s="4" t="e">
        <f>MATCH(B18,'Points Summary'!$B$4:$B$673,0)</f>
        <v>#N/A</v>
      </c>
    </row>
  </sheetData>
  <sortState ref="A8:D18">
    <sortCondition descending="1" ref="D8:D18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20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79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71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42" t="s">
        <v>75</v>
      </c>
      <c r="C8" s="40">
        <v>2.8383055555555536E-2</v>
      </c>
      <c r="D8" s="6" t="e">
        <f>INDEX('Points Summary'!$F$4:$F$672,G8)</f>
        <v>#N/A</v>
      </c>
      <c r="E8" s="41" t="e">
        <f>(AVERAGE($D$9:$D$10)/100*AVERAGE($C$9:$C$10))/C8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2</v>
      </c>
      <c r="B9" s="164" t="s">
        <v>88</v>
      </c>
      <c r="C9" s="40">
        <v>2.900446759259262E-2</v>
      </c>
      <c r="D9" s="6" t="e">
        <f>INDEX('Points Summary'!$F$4:$F$672,G9)</f>
        <v>#N/A</v>
      </c>
      <c r="E9" s="41" t="e">
        <f t="shared" ref="E9:E18" si="0">(AVERAGE($D$9:$D$10)/100*AVERAGE($C$9:$C$10))/C9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3</v>
      </c>
      <c r="B10" s="165" t="s">
        <v>83</v>
      </c>
      <c r="C10" s="40">
        <v>4.0124328703703749E-2</v>
      </c>
      <c r="D10" s="6">
        <f>INDEX('Points Summary'!$F$4:$F$672,G10)</f>
        <v>46.917507946651071</v>
      </c>
      <c r="E10" s="41" t="e">
        <f t="shared" si="0"/>
        <v>#N/A</v>
      </c>
      <c r="F10" s="5"/>
      <c r="G10" s="4">
        <f>MATCH(B10,'Points Summary'!$B$4:$B$673,0)</f>
        <v>6</v>
      </c>
    </row>
    <row r="11" spans="1:7" x14ac:dyDescent="0.2">
      <c r="A11" s="4">
        <v>4</v>
      </c>
      <c r="B11" s="165" t="s">
        <v>90</v>
      </c>
      <c r="C11" s="40">
        <v>3.3041284722222231E-2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>
        <v>5</v>
      </c>
      <c r="B12" s="165" t="s">
        <v>92</v>
      </c>
      <c r="C12" s="40">
        <v>3.4804918981481525E-2</v>
      </c>
      <c r="D12" s="6" t="e">
        <f>INDEX('Points Summary'!$F$4:$F$672,G12)</f>
        <v>#N/A</v>
      </c>
      <c r="E12" s="41" t="e">
        <f t="shared" si="0"/>
        <v>#N/A</v>
      </c>
      <c r="F12" s="5"/>
      <c r="G12" s="4" t="e">
        <f>MATCH(B12,'Points Summary'!$B$4:$B$673,0)</f>
        <v>#N/A</v>
      </c>
    </row>
    <row r="13" spans="1:7" x14ac:dyDescent="0.2">
      <c r="A13" s="4">
        <v>3</v>
      </c>
      <c r="B13" s="5" t="s">
        <v>89</v>
      </c>
      <c r="C13" s="40">
        <v>3.2303240740740757E-2</v>
      </c>
      <c r="D13" s="6" t="e">
        <f>INDEX('Points Summary'!$F$4:$F$672,G13)</f>
        <v>#N/A</v>
      </c>
      <c r="E13" s="41" t="e">
        <f t="shared" si="0"/>
        <v>#N/A</v>
      </c>
      <c r="F13" s="5"/>
      <c r="G13" s="4" t="e">
        <f>MATCH(B13,'Points Summary'!$B$4:$B$673,0)</f>
        <v>#N/A</v>
      </c>
    </row>
    <row r="14" spans="1:7" x14ac:dyDescent="0.2">
      <c r="A14" s="4">
        <v>1</v>
      </c>
      <c r="B14" s="165" t="s">
        <v>104</v>
      </c>
      <c r="C14" s="40">
        <v>3.5679953703703693E-2</v>
      </c>
      <c r="D14" s="6" t="e">
        <f>INDEX('Points Summary'!$F$4:$F$672,G14)</f>
        <v>#N/A</v>
      </c>
      <c r="E14" s="41" t="e">
        <f t="shared" si="0"/>
        <v>#N/A</v>
      </c>
      <c r="F14" s="5"/>
      <c r="G14" s="4" t="e">
        <f>MATCH(B14,'Points Summary'!$B$4:$B$673,0)</f>
        <v>#N/A</v>
      </c>
    </row>
    <row r="15" spans="1:7" x14ac:dyDescent="0.2">
      <c r="A15" s="4">
        <v>6</v>
      </c>
      <c r="B15" s="165" t="s">
        <v>91</v>
      </c>
      <c r="C15" s="40">
        <v>3.5162685185185172E-2</v>
      </c>
      <c r="D15" s="6" t="e">
        <f>INDEX('Points Summary'!$F$4:$F$672,G15)</f>
        <v>#N/A</v>
      </c>
      <c r="E15" s="41" t="e">
        <f t="shared" si="0"/>
        <v>#N/A</v>
      </c>
      <c r="F15" s="5"/>
      <c r="G15" s="4" t="e">
        <f>MATCH(B15,'Points Summary'!$B$4:$B$673,0)</f>
        <v>#N/A</v>
      </c>
    </row>
    <row r="16" spans="1:7" x14ac:dyDescent="0.2">
      <c r="A16" s="4">
        <v>1</v>
      </c>
      <c r="B16" s="165" t="s">
        <v>93</v>
      </c>
      <c r="C16" s="40">
        <v>3.4503136574074111E-2</v>
      </c>
      <c r="D16" s="6" t="e">
        <f>INDEX('Points Summary'!$F$4:$F$672,G16)</f>
        <v>#N/A</v>
      </c>
      <c r="E16" s="41" t="e">
        <f t="shared" si="0"/>
        <v>#N/A</v>
      </c>
      <c r="F16" s="5"/>
      <c r="G16" s="4" t="e">
        <f>MATCH(B16,'Points Summary'!$B$4:$B$673,0)</f>
        <v>#N/A</v>
      </c>
    </row>
    <row r="17" spans="1:7" x14ac:dyDescent="0.2">
      <c r="A17" s="4">
        <v>2</v>
      </c>
      <c r="B17" s="164" t="s">
        <v>95</v>
      </c>
      <c r="C17" s="40">
        <v>3.6871898148148119E-2</v>
      </c>
      <c r="D17" s="6">
        <f>INDEX('Points Summary'!$F$4:$F$672,G17)</f>
        <v>50.70676238380927</v>
      </c>
      <c r="E17" s="41" t="e">
        <f t="shared" si="0"/>
        <v>#N/A</v>
      </c>
      <c r="F17" s="5"/>
      <c r="G17" s="4">
        <f>MATCH(B17,'Points Summary'!$B$4:$B$673,0)</f>
        <v>115</v>
      </c>
    </row>
    <row r="18" spans="1:7" x14ac:dyDescent="0.2">
      <c r="A18" s="4">
        <v>4</v>
      </c>
      <c r="B18" s="164" t="s">
        <v>94</v>
      </c>
      <c r="C18" s="40">
        <v>4.4286840277777795E-2</v>
      </c>
      <c r="D18" s="6">
        <f>INDEX('Points Summary'!$F$4:$F$672,G18)</f>
        <v>49.491108471830572</v>
      </c>
      <c r="E18" s="41" t="e">
        <f t="shared" si="0"/>
        <v>#N/A</v>
      </c>
      <c r="F18" s="5"/>
      <c r="G18" s="4">
        <f>MATCH(B18,'Points Summary'!$B$4:$B$673,0)</f>
        <v>18</v>
      </c>
    </row>
    <row r="19" spans="1:7" x14ac:dyDescent="0.2">
      <c r="A19" s="4"/>
      <c r="B19" s="164"/>
      <c r="C19" s="40"/>
      <c r="D19" s="6"/>
      <c r="E19" s="41"/>
      <c r="F19" s="5"/>
      <c r="G19" s="4"/>
    </row>
    <row r="20" spans="1:7" x14ac:dyDescent="0.2">
      <c r="A20" s="4"/>
      <c r="B20" s="164"/>
      <c r="C20" s="40"/>
      <c r="D20" s="6"/>
      <c r="E20" s="41"/>
      <c r="F20" s="5"/>
      <c r="G20" s="4"/>
    </row>
  </sheetData>
  <sortState ref="A8:D18">
    <sortCondition descending="1" ref="D8:D18"/>
  </sortState>
  <printOptions horizontalCentered="1"/>
  <pageMargins left="0.7" right="0.7" top="0.75" bottom="0.75" header="0.3" footer="0.3"/>
  <pageSetup orientation="portrait" r:id="rId1"/>
  <headerFooter>
    <oddHeader xml:space="preserve">&amp;L&amp;"Tahoma,Bold"&amp;11U.S. Biathlon Association&amp;R&amp;"Tahoma,Bold"&amp;11 2012 Race Points 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21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44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56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107</v>
      </c>
      <c r="C5" s="35"/>
      <c r="D5" s="35"/>
      <c r="E5" s="35" t="s">
        <v>28</v>
      </c>
      <c r="F5" s="52" t="e">
        <f>AVERAGE(C8:C9)*(AVERAGE(D8:D9)/100)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6</v>
      </c>
      <c r="B8" s="5" t="s">
        <v>54</v>
      </c>
      <c r="C8" s="40">
        <v>3.5964120370370369E-2</v>
      </c>
      <c r="D8" s="6" t="e">
        <f>INDEX('Points Summary'!$F$4:$F$672,G8)</f>
        <v>#N/A</v>
      </c>
      <c r="E8" s="41" t="e">
        <f>(AVERAGE($D$8:$D$9)/100*AVERAGE($C$8:$C$9))/C8</f>
        <v>#N/A</v>
      </c>
      <c r="F8" s="5"/>
      <c r="G8" s="4" t="e">
        <f>MATCH(B8,'Points Summary'!$B$4:$B$673,0)</f>
        <v>#N/A</v>
      </c>
    </row>
    <row r="9" spans="1:7" x14ac:dyDescent="0.2">
      <c r="A9" s="4">
        <v>4</v>
      </c>
      <c r="B9" s="5" t="s">
        <v>55</v>
      </c>
      <c r="C9" s="40">
        <v>3.4083333333333334E-2</v>
      </c>
      <c r="D9" s="6" t="e">
        <f>INDEX('Points Summary'!$F$4:$F$672,G9)</f>
        <v>#N/A</v>
      </c>
      <c r="E9" s="41" t="e">
        <f>(AVERAGE($D$8:$D$9)/100*AVERAGE($C$8:$C$9))/C9</f>
        <v>#N/A</v>
      </c>
      <c r="F9" s="5"/>
      <c r="G9" s="4" t="e">
        <f>MATCH(B9,'Points Summary'!$B$4:$B$673,0)</f>
        <v>#N/A</v>
      </c>
    </row>
    <row r="10" spans="1:7" x14ac:dyDescent="0.2">
      <c r="A10" s="4"/>
      <c r="B10" s="5"/>
      <c r="C10" s="40"/>
      <c r="D10" s="6"/>
      <c r="E10" s="41"/>
      <c r="F10" s="5"/>
      <c r="G10" s="4"/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B13" s="114"/>
      <c r="C13" s="40"/>
      <c r="D13" s="6"/>
      <c r="E13" s="41"/>
      <c r="F13" s="5"/>
      <c r="G13" s="4"/>
    </row>
    <row r="14" spans="1:7" x14ac:dyDescent="0.2">
      <c r="A14" s="4"/>
      <c r="C14" s="40"/>
      <c r="D14" s="6"/>
      <c r="E14" s="41"/>
      <c r="F14" s="5"/>
      <c r="G14" s="4"/>
    </row>
    <row r="15" spans="1:7" x14ac:dyDescent="0.2">
      <c r="A15" s="4"/>
      <c r="C15" s="40"/>
      <c r="D15" s="6"/>
      <c r="E15" s="41"/>
      <c r="F15" s="5"/>
      <c r="G15" s="4"/>
    </row>
    <row r="16" spans="1:7" x14ac:dyDescent="0.2">
      <c r="A16" s="4"/>
      <c r="C16" s="40"/>
      <c r="D16" s="6"/>
      <c r="E16" s="41"/>
      <c r="F16" s="5"/>
      <c r="G16" s="4"/>
    </row>
    <row r="17" spans="1:7" x14ac:dyDescent="0.2">
      <c r="A17" s="4"/>
      <c r="C17" s="40"/>
      <c r="D17" s="6"/>
      <c r="E17" s="41"/>
      <c r="F17" s="5"/>
      <c r="G17" s="4"/>
    </row>
    <row r="18" spans="1:7" x14ac:dyDescent="0.2">
      <c r="A18" s="4"/>
      <c r="C18" s="40"/>
      <c r="D18" s="6"/>
      <c r="E18" s="41"/>
      <c r="F18" s="5"/>
      <c r="G18" s="4"/>
    </row>
    <row r="19" spans="1:7" x14ac:dyDescent="0.2">
      <c r="A19" s="4"/>
      <c r="C19" s="40"/>
      <c r="D19" s="6"/>
      <c r="E19" s="41"/>
      <c r="F19" s="5"/>
      <c r="G19" s="4"/>
    </row>
    <row r="20" spans="1:7" x14ac:dyDescent="0.2">
      <c r="A20" s="4"/>
      <c r="C20" s="40"/>
      <c r="D20" s="6"/>
      <c r="E20" s="41"/>
      <c r="F20" s="5"/>
      <c r="G20" s="4"/>
    </row>
    <row r="21" spans="1:7" x14ac:dyDescent="0.2">
      <c r="A21" s="4"/>
      <c r="C21" s="40"/>
      <c r="D21" s="6"/>
      <c r="E21" s="41"/>
      <c r="F21" s="5"/>
      <c r="G21" s="4"/>
    </row>
  </sheetData>
  <sortState ref="A8:D20">
    <sortCondition descending="1" ref="D8:D20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13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56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107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5</v>
      </c>
      <c r="B8" s="5" t="s">
        <v>54</v>
      </c>
      <c r="C8" s="40">
        <v>1.8509259259259257E-2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4">
        <v>6</v>
      </c>
      <c r="B9" s="5" t="s">
        <v>55</v>
      </c>
      <c r="C9" s="40">
        <v>1.8671296296296297E-2</v>
      </c>
      <c r="D9" s="6" t="e">
        <f>INDEX('Points Summary'!$F$4:$F$672,G9)</f>
        <v>#N/A</v>
      </c>
      <c r="E9" s="41" t="e">
        <f t="shared" ref="E9:E10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5</v>
      </c>
      <c r="B10" s="5" t="s">
        <v>74</v>
      </c>
      <c r="C10" s="40">
        <v>2.2328703703703708E-2</v>
      </c>
      <c r="D10" s="6" t="e">
        <f>INDEX('Points Summary'!$F$4:$F$672,G10)</f>
        <v>#N/A</v>
      </c>
      <c r="E10" s="41" t="e">
        <f t="shared" si="0"/>
        <v>#N/A</v>
      </c>
      <c r="F10" s="5"/>
      <c r="G10" s="4" t="e">
        <f>MATCH(B10,'Points Summary'!$B$4:$B$673,0)</f>
        <v>#N/A</v>
      </c>
    </row>
    <row r="11" spans="1:7" x14ac:dyDescent="0.2">
      <c r="A11" s="4"/>
      <c r="B11" s="5"/>
      <c r="C11" s="40"/>
      <c r="D11" s="6"/>
      <c r="E11" s="41"/>
      <c r="F11" s="5"/>
      <c r="G11" s="4"/>
    </row>
    <row r="12" spans="1:7" x14ac:dyDescent="0.2">
      <c r="A12" s="4"/>
      <c r="B12" s="5"/>
      <c r="C12" s="40"/>
      <c r="D12" s="6"/>
      <c r="E12" s="41"/>
      <c r="F12" s="5"/>
      <c r="G12" s="4"/>
    </row>
    <row r="13" spans="1:7" x14ac:dyDescent="0.2">
      <c r="A13" s="4"/>
      <c r="B13" s="114"/>
      <c r="C13" s="40"/>
      <c r="D13" s="6"/>
      <c r="E13" s="41"/>
      <c r="F13" s="5"/>
      <c r="G13" s="4"/>
    </row>
  </sheetData>
  <sortState ref="A8:D13">
    <sortCondition descending="1" ref="D8:D13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12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84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64</v>
      </c>
      <c r="C8" s="40">
        <v>2.642361111111111E-2</v>
      </c>
      <c r="D8" s="6">
        <f>INDEX('Points Summary'!$F$4:$F$672,G8)</f>
        <v>46.917507946651071</v>
      </c>
      <c r="E8" s="41" t="e">
        <f>(AVERAGE($D$8:$D$10)/100*AVERAGE($C$8:$C$10))/C8</f>
        <v>#N/A</v>
      </c>
      <c r="F8" s="5"/>
      <c r="G8" s="4">
        <f>MATCH(B8,'Points Summary'!$B$4:$B$673,0)</f>
        <v>6</v>
      </c>
    </row>
    <row r="9" spans="1:7" x14ac:dyDescent="0.2">
      <c r="A9" s="4">
        <v>1</v>
      </c>
      <c r="B9" s="5" t="s">
        <v>63</v>
      </c>
      <c r="C9" s="40">
        <v>2.585648148148148E-2</v>
      </c>
      <c r="D9" s="6" t="e">
        <f>INDEX('Points Summary'!$F$4:$F$672,G9)</f>
        <v>#N/A</v>
      </c>
      <c r="E9" s="41" t="e">
        <f t="shared" ref="E9:E11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2</v>
      </c>
      <c r="B10" s="5" t="s">
        <v>65</v>
      </c>
      <c r="C10" s="40">
        <v>3.1539351851851853E-2</v>
      </c>
      <c r="D10" s="6">
        <f>INDEX('Points Summary'!$F$4:$F$672,G10)</f>
        <v>51.598687384929619</v>
      </c>
      <c r="E10" s="41" t="e">
        <f t="shared" si="0"/>
        <v>#N/A</v>
      </c>
      <c r="F10" s="5"/>
      <c r="G10" s="4">
        <f>MATCH(B10,'Points Summary'!$B$4:$B$673,0)</f>
        <v>141</v>
      </c>
    </row>
    <row r="11" spans="1:7" x14ac:dyDescent="0.2">
      <c r="A11" s="4">
        <v>2</v>
      </c>
      <c r="B11" s="5" t="s">
        <v>66</v>
      </c>
      <c r="C11" s="40">
        <v>3.0763888888888886E-2</v>
      </c>
      <c r="D11" s="6">
        <f>INDEX('Points Summary'!$F$4:$F$672,G11)</f>
        <v>49.491108471830572</v>
      </c>
      <c r="E11" s="41" t="e">
        <f t="shared" si="0"/>
        <v>#N/A</v>
      </c>
      <c r="F11" s="5"/>
      <c r="G11" s="4">
        <f>MATCH(B11,'Points Summary'!$B$4:$B$673,0)</f>
        <v>18</v>
      </c>
    </row>
    <row r="12" spans="1:7" x14ac:dyDescent="0.2">
      <c r="A12" s="4">
        <v>1</v>
      </c>
      <c r="B12" s="5" t="s">
        <v>108</v>
      </c>
      <c r="C12" s="40">
        <v>4.0208333333333332E-2</v>
      </c>
      <c r="D12" s="6" t="e">
        <f>INDEX('Points Summary'!$F$4:$F$672,G12)</f>
        <v>#N/A</v>
      </c>
      <c r="E12" s="41" t="e">
        <f t="shared" ref="E12" si="1">(AVERAGE($D$8:$D$10)/100*AVERAGE($C$8:$C$10))/C12</f>
        <v>#N/A</v>
      </c>
      <c r="F12" s="5"/>
      <c r="G12" s="4" t="e">
        <f>MATCH(B12,'Points Summary'!$B$4:$B$673,0)</f>
        <v>#N/A</v>
      </c>
    </row>
  </sheetData>
  <sortState ref="A8:D12">
    <sortCondition descending="1" ref="D8:D12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13"/>
  <sheetViews>
    <sheetView workbookViewId="0">
      <selection activeCell="B2" sqref="B2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/>
      <c r="C1" s="31"/>
      <c r="D1" s="31"/>
      <c r="E1" s="31"/>
      <c r="F1" s="31"/>
      <c r="G1" s="32"/>
    </row>
    <row r="2" spans="1:7" x14ac:dyDescent="0.2">
      <c r="A2" s="33" t="s">
        <v>11</v>
      </c>
      <c r="B2" s="34"/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84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4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4">
        <v>1</v>
      </c>
      <c r="B8" s="5" t="s">
        <v>64</v>
      </c>
      <c r="C8" s="40">
        <v>3.8287037037037036E-2</v>
      </c>
      <c r="D8" s="6">
        <f>INDEX('Points Summary'!$F$4:$F$672,G8)</f>
        <v>46.917507946651071</v>
      </c>
      <c r="E8" s="41" t="e">
        <f>(AVERAGE($D$8:$D$10)/100*AVERAGE($C$8:$C$10))/C8</f>
        <v>#N/A</v>
      </c>
      <c r="F8" s="5"/>
      <c r="G8" s="4">
        <f>MATCH(B8,'Points Summary'!$B$4:$B$673,0)</f>
        <v>6</v>
      </c>
    </row>
    <row r="9" spans="1:7" x14ac:dyDescent="0.2">
      <c r="A9" s="4">
        <v>1</v>
      </c>
      <c r="B9" s="5" t="s">
        <v>63</v>
      </c>
      <c r="C9" s="40">
        <v>3.4398148148148143E-2</v>
      </c>
      <c r="D9" s="6" t="e">
        <f>INDEX('Points Summary'!$F$4:$F$672,G9)</f>
        <v>#N/A</v>
      </c>
      <c r="E9" s="41" t="e">
        <f t="shared" ref="E9:E11" si="0"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4">
        <v>2</v>
      </c>
      <c r="B10" t="s">
        <v>65</v>
      </c>
      <c r="C10" s="40">
        <v>4.0636574074074075E-2</v>
      </c>
      <c r="D10" s="6">
        <f>INDEX('Points Summary'!$F$4:$F$672,G10)</f>
        <v>51.598687384929619</v>
      </c>
      <c r="E10" s="41" t="e">
        <f t="shared" si="0"/>
        <v>#N/A</v>
      </c>
      <c r="F10" s="5"/>
      <c r="G10" s="4">
        <f>MATCH(B10,'Points Summary'!$B$4:$B$673,0)</f>
        <v>141</v>
      </c>
    </row>
    <row r="11" spans="1:7" x14ac:dyDescent="0.2">
      <c r="A11" s="4">
        <v>1</v>
      </c>
      <c r="B11" s="5" t="s">
        <v>78</v>
      </c>
      <c r="C11" s="40">
        <v>3.5057870370370371E-2</v>
      </c>
      <c r="D11" s="6" t="e">
        <f>INDEX('Points Summary'!$F$4:$F$672,G11)</f>
        <v>#N/A</v>
      </c>
      <c r="E11" s="41" t="e">
        <f t="shared" si="0"/>
        <v>#N/A</v>
      </c>
      <c r="F11" s="5"/>
      <c r="G11" s="4" t="e">
        <f>MATCH(B11,'Points Summary'!$B$4:$B$673,0)</f>
        <v>#N/A</v>
      </c>
    </row>
    <row r="12" spans="1:7" x14ac:dyDescent="0.2">
      <c r="A12" s="4">
        <v>2</v>
      </c>
      <c r="B12" s="5" t="s">
        <v>109</v>
      </c>
      <c r="C12" s="40">
        <v>4.3194444444444445E-2</v>
      </c>
      <c r="D12" s="6" t="e">
        <f>INDEX('Points Summary'!$F$4:$F$672,G12)</f>
        <v>#N/A</v>
      </c>
      <c r="E12" s="41" t="e">
        <f t="shared" ref="E12" si="1">(AVERAGE($D$8:$D$10)/100*AVERAGE($C$8:$C$10))/C12</f>
        <v>#N/A</v>
      </c>
      <c r="F12" s="5"/>
      <c r="G12" s="4" t="e">
        <f>MATCH(B12,'Points Summary'!$B$4:$B$673,0)</f>
        <v>#N/A</v>
      </c>
    </row>
    <row r="13" spans="1:7" x14ac:dyDescent="0.2">
      <c r="A13" s="4">
        <v>2</v>
      </c>
      <c r="B13" s="5" t="s">
        <v>66</v>
      </c>
      <c r="C13" s="40">
        <v>4.1250000000000002E-2</v>
      </c>
      <c r="D13" s="6">
        <f>INDEX('Points Summary'!$F$4:$F$672,G13)</f>
        <v>49.491108471830572</v>
      </c>
      <c r="E13" s="41" t="e">
        <f t="shared" ref="E13" si="2">(AVERAGE($D$8:$D$10)/100*AVERAGE($C$8:$C$10))/C13</f>
        <v>#N/A</v>
      </c>
      <c r="F13" s="5"/>
      <c r="G13" s="4">
        <f>MATCH(B13,'Points Summary'!$B$4:$B$673,0)</f>
        <v>18</v>
      </c>
    </row>
  </sheetData>
  <sortState ref="A8:D13">
    <sortCondition descending="1" ref="D8:D13"/>
  </sortState>
  <printOptions horizontalCentered="1"/>
  <pageMargins left="0.7" right="0.7" top="0.75" bottom="0.75" header="0.3" footer="0.3"/>
  <pageSetup orientation="portrait" r:id="rId1"/>
  <headerFooter>
    <oddHeader>&amp;L&amp;"Tahoma,Bold"&amp;11U.S. Biathlon Association&amp;R&amp;"Tahoma,Bold"&amp;11 2012 Race Points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10"/>
  <sheetViews>
    <sheetView workbookViewId="0">
      <selection activeCell="K6" sqref="K6"/>
    </sheetView>
  </sheetViews>
  <sheetFormatPr defaultRowHeight="12.75" x14ac:dyDescent="0.2"/>
  <cols>
    <col min="2" max="2" width="24.7109375" customWidth="1"/>
    <col min="3" max="7" width="9.7109375" customWidth="1"/>
  </cols>
  <sheetData>
    <row r="1" spans="1:7" x14ac:dyDescent="0.2">
      <c r="A1" s="29" t="s">
        <v>10</v>
      </c>
      <c r="B1" s="30" t="s">
        <v>20</v>
      </c>
      <c r="C1" s="31"/>
      <c r="D1" s="31"/>
      <c r="E1" s="31"/>
      <c r="F1" s="31"/>
      <c r="G1" s="32"/>
    </row>
    <row r="2" spans="1:7" x14ac:dyDescent="0.2">
      <c r="A2" s="33" t="s">
        <v>11</v>
      </c>
      <c r="B2" s="34">
        <v>38325</v>
      </c>
      <c r="C2" s="35"/>
      <c r="D2" s="35"/>
      <c r="E2" s="35"/>
      <c r="F2" s="35"/>
      <c r="G2" s="36"/>
    </row>
    <row r="3" spans="1:7" x14ac:dyDescent="0.2">
      <c r="A3" s="33" t="s">
        <v>12</v>
      </c>
      <c r="B3" s="37" t="s">
        <v>19</v>
      </c>
      <c r="C3" s="35"/>
      <c r="D3" s="35"/>
      <c r="E3" s="35"/>
      <c r="F3" s="35"/>
      <c r="G3" s="36"/>
    </row>
    <row r="4" spans="1:7" x14ac:dyDescent="0.2">
      <c r="A4" s="33" t="s">
        <v>1</v>
      </c>
      <c r="B4" s="37" t="s">
        <v>13</v>
      </c>
      <c r="C4" s="35"/>
      <c r="D4" s="35"/>
      <c r="E4" s="35"/>
      <c r="F4" s="35"/>
      <c r="G4" s="36"/>
    </row>
    <row r="5" spans="1:7" x14ac:dyDescent="0.2">
      <c r="A5" s="33" t="s">
        <v>14</v>
      </c>
      <c r="B5" s="37" t="s">
        <v>14</v>
      </c>
      <c r="C5" s="35"/>
      <c r="D5" s="35"/>
      <c r="E5" s="35" t="s">
        <v>28</v>
      </c>
      <c r="F5" s="52" t="e">
        <f>AVERAGE(C8:C10)*(AVERAGE(D8:D10)/100)</f>
        <v>#N/A</v>
      </c>
      <c r="G5" s="36"/>
    </row>
    <row r="6" spans="1:7" x14ac:dyDescent="0.2">
      <c r="A6" s="38" t="s">
        <v>15</v>
      </c>
      <c r="B6" s="28"/>
      <c r="C6" s="28"/>
      <c r="D6" s="28"/>
      <c r="E6" s="28"/>
      <c r="F6" s="28"/>
      <c r="G6" s="39"/>
    </row>
    <row r="7" spans="1:7" x14ac:dyDescent="0.2">
      <c r="A7" s="5" t="s">
        <v>2</v>
      </c>
      <c r="B7" s="5" t="s">
        <v>3</v>
      </c>
      <c r="C7" s="4" t="s">
        <v>16</v>
      </c>
      <c r="D7" s="4" t="s">
        <v>17</v>
      </c>
      <c r="E7" s="4" t="s">
        <v>18</v>
      </c>
      <c r="F7" s="5"/>
      <c r="G7" s="4" t="s">
        <v>14</v>
      </c>
    </row>
    <row r="8" spans="1:7" x14ac:dyDescent="0.2">
      <c r="A8" s="5"/>
      <c r="B8" s="5" t="s">
        <v>21</v>
      </c>
      <c r="C8" s="40">
        <f>TIME(0,0,0)</f>
        <v>0</v>
      </c>
      <c r="D8" s="6" t="e">
        <f>INDEX('Points Summary'!$F$4:$F$672,G8)</f>
        <v>#N/A</v>
      </c>
      <c r="E8" s="41" t="e">
        <f>(AVERAGE($D$8:$D$10)/100*AVERAGE($C$8:$C$10))/C8</f>
        <v>#N/A</v>
      </c>
      <c r="F8" s="5"/>
      <c r="G8" s="4" t="e">
        <f>MATCH(B8,'Points Summary'!$B$4:$B$673,0)</f>
        <v>#N/A</v>
      </c>
    </row>
    <row r="9" spans="1:7" x14ac:dyDescent="0.2">
      <c r="A9" s="5"/>
      <c r="B9" s="5" t="s">
        <v>21</v>
      </c>
      <c r="C9" s="40">
        <f>TIME(0,0,0)</f>
        <v>0</v>
      </c>
      <c r="D9" s="6" t="e">
        <f>INDEX('Points Summary'!$H$4:$H$672,G9)</f>
        <v>#N/A</v>
      </c>
      <c r="E9" s="41" t="e">
        <f>(AVERAGE($D$8:$D$10)/100*AVERAGE($C$8:$C$10))/C9</f>
        <v>#N/A</v>
      </c>
      <c r="F9" s="5"/>
      <c r="G9" s="4" t="e">
        <f>MATCH(B9,'Points Summary'!$B$4:$B$673,0)</f>
        <v>#N/A</v>
      </c>
    </row>
    <row r="10" spans="1:7" x14ac:dyDescent="0.2">
      <c r="A10" s="5"/>
      <c r="B10" s="5" t="s">
        <v>21</v>
      </c>
      <c r="C10" s="40">
        <f>TIME(0,0,0)</f>
        <v>0</v>
      </c>
      <c r="D10" s="6" t="e">
        <f>INDEX('Points Summary'!$H$4:$H$672,G10)</f>
        <v>#N/A</v>
      </c>
      <c r="E10" s="41" t="e">
        <f>(AVERAGE($D$8:$D$10)/100*AVERAGE($C$8:$C$10))/C10</f>
        <v>#N/A</v>
      </c>
      <c r="F10" s="5"/>
      <c r="G10" s="4" t="e">
        <f>MATCH(B10,'Points Summary'!$B$4:$B$673,0)</f>
        <v>#N/A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100</vt:i4>
      </vt:variant>
      <vt:variant>
        <vt:lpstr>Named Ranges</vt:lpstr>
      </vt:variant>
      <vt:variant>
        <vt:i4>1</vt:i4>
      </vt:variant>
    </vt:vector>
  </HeadingPairs>
  <TitlesOfParts>
    <vt:vector size="101" baseType="lpstr">
      <vt:lpstr>Report</vt:lpstr>
      <vt:lpstr>Points Summary</vt:lpstr>
      <vt:lpstr>Race 1</vt:lpstr>
      <vt:lpstr>Race 2</vt:lpstr>
      <vt:lpstr>Race 3</vt:lpstr>
      <vt:lpstr>Race 4</vt:lpstr>
      <vt:lpstr>Race 5</vt:lpstr>
      <vt:lpstr>Race 6</vt:lpstr>
      <vt:lpstr>Race 7</vt:lpstr>
      <vt:lpstr>Race 8</vt:lpstr>
      <vt:lpstr>Race 9</vt:lpstr>
      <vt:lpstr>Race 10</vt:lpstr>
      <vt:lpstr>Race 11</vt:lpstr>
      <vt:lpstr>Race 12</vt:lpstr>
      <vt:lpstr>Race 13</vt:lpstr>
      <vt:lpstr>Race 14</vt:lpstr>
      <vt:lpstr>Race 15</vt:lpstr>
      <vt:lpstr>Race 16</vt:lpstr>
      <vt:lpstr>Race 17</vt:lpstr>
      <vt:lpstr>Race 18</vt:lpstr>
      <vt:lpstr>Race 19</vt:lpstr>
      <vt:lpstr>Race 20</vt:lpstr>
      <vt:lpstr>Race 21</vt:lpstr>
      <vt:lpstr>Race 22</vt:lpstr>
      <vt:lpstr>Race 23</vt:lpstr>
      <vt:lpstr>Race 24</vt:lpstr>
      <vt:lpstr>Race 25</vt:lpstr>
      <vt:lpstr>Race 26</vt:lpstr>
      <vt:lpstr>Race 27</vt:lpstr>
      <vt:lpstr>Race 28</vt:lpstr>
      <vt:lpstr>Race 29</vt:lpstr>
      <vt:lpstr>Race 30</vt:lpstr>
      <vt:lpstr>Race 31</vt:lpstr>
      <vt:lpstr>Race 32</vt:lpstr>
      <vt:lpstr>Race 33</vt:lpstr>
      <vt:lpstr>Race 34</vt:lpstr>
      <vt:lpstr>Race 35</vt:lpstr>
      <vt:lpstr>Race 36</vt:lpstr>
      <vt:lpstr>Race 37</vt:lpstr>
      <vt:lpstr>Race 38</vt:lpstr>
      <vt:lpstr>Race 39</vt:lpstr>
      <vt:lpstr>Race 40</vt:lpstr>
      <vt:lpstr>Race 41</vt:lpstr>
      <vt:lpstr>Race 42</vt:lpstr>
      <vt:lpstr>Race 43</vt:lpstr>
      <vt:lpstr>Race 44</vt:lpstr>
      <vt:lpstr>Race 45</vt:lpstr>
      <vt:lpstr>Race 46</vt:lpstr>
      <vt:lpstr>Race 47</vt:lpstr>
      <vt:lpstr>Race 48</vt:lpstr>
      <vt:lpstr>Race 49</vt:lpstr>
      <vt:lpstr>Race 50</vt:lpstr>
      <vt:lpstr>Race 51</vt:lpstr>
      <vt:lpstr>Race 52</vt:lpstr>
      <vt:lpstr>Race 53</vt:lpstr>
      <vt:lpstr>Race 54</vt:lpstr>
      <vt:lpstr>Race 55</vt:lpstr>
      <vt:lpstr>Race 56</vt:lpstr>
      <vt:lpstr>Race 57</vt:lpstr>
      <vt:lpstr>Race 58</vt:lpstr>
      <vt:lpstr>Race 59</vt:lpstr>
      <vt:lpstr>Race 60</vt:lpstr>
      <vt:lpstr>Race 61</vt:lpstr>
      <vt:lpstr>Race 62</vt:lpstr>
      <vt:lpstr>Race 63</vt:lpstr>
      <vt:lpstr>Race 64</vt:lpstr>
      <vt:lpstr>Race 65</vt:lpstr>
      <vt:lpstr>Race 66</vt:lpstr>
      <vt:lpstr>Race 67</vt:lpstr>
      <vt:lpstr>Race 68</vt:lpstr>
      <vt:lpstr>Race 69</vt:lpstr>
      <vt:lpstr>Race 70</vt:lpstr>
      <vt:lpstr>Race 71</vt:lpstr>
      <vt:lpstr>Race 72</vt:lpstr>
      <vt:lpstr>Race 73</vt:lpstr>
      <vt:lpstr>Race 74</vt:lpstr>
      <vt:lpstr>Race 75</vt:lpstr>
      <vt:lpstr>Race 76</vt:lpstr>
      <vt:lpstr>Race 77</vt:lpstr>
      <vt:lpstr>Race 78</vt:lpstr>
      <vt:lpstr>Race 79</vt:lpstr>
      <vt:lpstr>Race 80</vt:lpstr>
      <vt:lpstr>Race 81</vt:lpstr>
      <vt:lpstr>Race 82</vt:lpstr>
      <vt:lpstr>Race 83</vt:lpstr>
      <vt:lpstr>Race 84</vt:lpstr>
      <vt:lpstr>Race 85</vt:lpstr>
      <vt:lpstr>Race 86</vt:lpstr>
      <vt:lpstr>Race 87</vt:lpstr>
      <vt:lpstr>Race 88</vt:lpstr>
      <vt:lpstr>Race 89</vt:lpstr>
      <vt:lpstr>Race 90</vt:lpstr>
      <vt:lpstr>Race 91</vt:lpstr>
      <vt:lpstr>Race 92</vt:lpstr>
      <vt:lpstr>Race 93</vt:lpstr>
      <vt:lpstr>Race 94</vt:lpstr>
      <vt:lpstr>Race 95</vt:lpstr>
      <vt:lpstr>Race 96</vt:lpstr>
      <vt:lpstr>Extra</vt:lpstr>
      <vt:lpstr>Sample</vt:lpstr>
      <vt:lpstr>Report!Print_Area</vt:lpstr>
    </vt:vector>
  </TitlesOfParts>
  <Company>Authorized Home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 Stegen</dc:creator>
  <cp:lastModifiedBy>Arthur E. Stegen</cp:lastModifiedBy>
  <cp:lastPrinted>2018-04-13T19:58:17Z</cp:lastPrinted>
  <dcterms:created xsi:type="dcterms:W3CDTF">2003-12-06T20:38:00Z</dcterms:created>
  <dcterms:modified xsi:type="dcterms:W3CDTF">2018-04-13T20:25:53Z</dcterms:modified>
</cp:coreProperties>
</file>